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05" windowWidth="15195" windowHeight="8385" tabRatio="912"/>
  </bookViews>
  <sheets>
    <sheet name="T1.Contacto" sheetId="11" r:id="rId1"/>
    <sheet name="T3.Normalización" sheetId="9" r:id="rId2"/>
    <sheet name="T4.Derrames" sheetId="1" r:id="rId3"/>
    <sheet name="T5.Agua Producida" sheetId="4" r:id="rId4"/>
    <sheet name="T6.Efluentes" sheetId="6" r:id="rId5"/>
    <sheet name="T7.Desechos" sheetId="7" r:id="rId6"/>
    <sheet name="T8.Agua dulce" sheetId="12" r:id="rId7"/>
    <sheet name="T9.Emisiones" sheetId="18" r:id="rId8"/>
    <sheet name="Checklist" sheetId="14" r:id="rId9"/>
  </sheets>
  <definedNames>
    <definedName name="_xlnm.Print_Area" localSheetId="1">T3.Normalización!$A$1:$K$19</definedName>
    <definedName name="_xlnm.Print_Titles" localSheetId="2">T4.Derrames!$A:$B</definedName>
  </definedNames>
  <calcPr calcId="144525"/>
</workbook>
</file>

<file path=xl/calcChain.xml><?xml version="1.0" encoding="utf-8"?>
<calcChain xmlns="http://schemas.openxmlformats.org/spreadsheetml/2006/main">
  <c r="X15" i="18" l="1"/>
  <c r="X14" i="18"/>
  <c r="X13" i="18"/>
  <c r="X12" i="18"/>
  <c r="X11" i="18"/>
  <c r="X9" i="18"/>
  <c r="X8" i="18"/>
  <c r="X7" i="18"/>
  <c r="J15" i="18"/>
  <c r="U15" i="18" s="1"/>
  <c r="J14" i="18"/>
  <c r="J13" i="18"/>
  <c r="R13" i="18" s="1"/>
  <c r="J12" i="18"/>
  <c r="J11" i="18"/>
  <c r="U11" i="18" s="1"/>
  <c r="J9" i="18"/>
  <c r="U9" i="18" s="1"/>
  <c r="J8" i="18"/>
  <c r="J7" i="18"/>
  <c r="I15" i="18"/>
  <c r="V15" i="18" s="1"/>
  <c r="I14" i="18"/>
  <c r="T14" i="18" s="1"/>
  <c r="I13" i="18"/>
  <c r="T13" i="18" s="1"/>
  <c r="I12" i="18"/>
  <c r="I11" i="18"/>
  <c r="T11" i="18" s="1"/>
  <c r="I9" i="18"/>
  <c r="T9" i="18" s="1"/>
  <c r="I7" i="18"/>
  <c r="I8" i="18"/>
  <c r="C10" i="18"/>
  <c r="T15" i="18"/>
  <c r="Q15" i="18"/>
  <c r="O15" i="18"/>
  <c r="Q14" i="18"/>
  <c r="O14" i="18"/>
  <c r="N14" i="18"/>
  <c r="Q13" i="18"/>
  <c r="O13" i="18"/>
  <c r="N13" i="18"/>
  <c r="T12" i="18"/>
  <c r="Q12" i="18"/>
  <c r="O12" i="18"/>
  <c r="N12" i="18"/>
  <c r="R11" i="18"/>
  <c r="Q11" i="18"/>
  <c r="O11" i="18"/>
  <c r="N11" i="18"/>
  <c r="N15" i="18"/>
  <c r="D10" i="18"/>
  <c r="E10" i="18"/>
  <c r="N10" i="18" s="1"/>
  <c r="F10" i="18"/>
  <c r="O10" i="18" s="1"/>
  <c r="G10" i="18"/>
  <c r="Q10" i="18" s="1"/>
  <c r="H10" i="18"/>
  <c r="Q7" i="18"/>
  <c r="Q9" i="18"/>
  <c r="Q8" i="18"/>
  <c r="P15" i="18"/>
  <c r="P14" i="18"/>
  <c r="P13" i="18"/>
  <c r="P12" i="18"/>
  <c r="P11" i="18"/>
  <c r="P9" i="18"/>
  <c r="P8" i="18"/>
  <c r="P7" i="18"/>
  <c r="O8" i="18"/>
  <c r="O9" i="18"/>
  <c r="O7" i="18"/>
  <c r="N8" i="18"/>
  <c r="N9" i="18"/>
  <c r="N7" i="18"/>
  <c r="M15" i="18"/>
  <c r="M14" i="18"/>
  <c r="M13" i="18"/>
  <c r="M12" i="18"/>
  <c r="M11" i="18"/>
  <c r="M9" i="18"/>
  <c r="M7" i="18"/>
  <c r="U13" i="18" l="1"/>
  <c r="S9" i="18"/>
  <c r="R15" i="18"/>
  <c r="S14" i="18"/>
  <c r="R14" i="18"/>
  <c r="U14" i="18"/>
  <c r="S12" i="18"/>
  <c r="V9" i="18"/>
  <c r="V12" i="18"/>
  <c r="U12" i="18"/>
  <c r="V14" i="18"/>
  <c r="S15" i="18"/>
  <c r="V13" i="18"/>
  <c r="J10" i="18"/>
  <c r="R9" i="18"/>
  <c r="R12" i="18"/>
  <c r="S13" i="18"/>
  <c r="S11" i="18"/>
  <c r="V11" i="18"/>
  <c r="S10" i="18"/>
  <c r="P10" i="18"/>
  <c r="R10" i="18"/>
  <c r="L13" i="18"/>
  <c r="L7" i="18"/>
  <c r="L9" i="18"/>
  <c r="L11" i="18"/>
  <c r="L12" i="18"/>
  <c r="L14" i="18"/>
  <c r="L15" i="18"/>
  <c r="K15" i="18"/>
  <c r="K14" i="18"/>
  <c r="K13" i="18"/>
  <c r="K12" i="18"/>
  <c r="K11" i="18"/>
  <c r="K9" i="18"/>
  <c r="K7" i="18"/>
  <c r="R8" i="18" l="1"/>
  <c r="U8" i="18"/>
  <c r="V8" i="18"/>
  <c r="T8" i="18"/>
  <c r="S8" i="18"/>
  <c r="U10" i="18"/>
  <c r="U7" i="18"/>
  <c r="R7" i="18"/>
  <c r="I10" i="18"/>
  <c r="V7" i="18"/>
  <c r="T7" i="18"/>
  <c r="S7" i="18"/>
  <c r="T10" i="18" l="1"/>
  <c r="V10" i="18"/>
  <c r="A33" i="6" l="1"/>
  <c r="F14" i="6" s="1"/>
  <c r="A32" i="6"/>
  <c r="F13" i="6" s="1"/>
  <c r="A31" i="6"/>
  <c r="F12" i="6" s="1"/>
  <c r="A30" i="6"/>
  <c r="F11" i="6" s="1"/>
  <c r="A29" i="6"/>
  <c r="F10" i="6" s="1"/>
  <c r="A26" i="6"/>
  <c r="I6" i="6" s="1"/>
  <c r="A27" i="6"/>
  <c r="I7" i="6" s="1"/>
  <c r="A28" i="6"/>
  <c r="F8" i="6" s="1"/>
  <c r="A20" i="7"/>
  <c r="H6" i="7" s="1"/>
  <c r="A21" i="7"/>
  <c r="A25" i="7"/>
  <c r="F12" i="7" s="1"/>
  <c r="A24" i="7"/>
  <c r="F11" i="7" s="1"/>
  <c r="A23" i="7"/>
  <c r="F10" i="7" s="1"/>
  <c r="A22" i="7"/>
  <c r="F8" i="7" s="1"/>
  <c r="A26" i="7"/>
  <c r="F13" i="7" s="1"/>
  <c r="A27" i="7"/>
  <c r="F14" i="7" s="1"/>
  <c r="A35" i="9"/>
  <c r="G9" i="9" s="1"/>
  <c r="A34" i="9"/>
  <c r="G8" i="9" s="1"/>
  <c r="A33" i="9"/>
  <c r="G7" i="9" s="1"/>
  <c r="A20" i="12"/>
  <c r="G6" i="12" s="1"/>
  <c r="A21" i="12"/>
  <c r="B116" i="1"/>
  <c r="I88" i="1" s="1"/>
  <c r="B115" i="1"/>
  <c r="I78" i="1" s="1"/>
  <c r="B114" i="1"/>
  <c r="I68" i="1" s="1"/>
  <c r="B113" i="1"/>
  <c r="I58" i="1" s="1"/>
  <c r="B112" i="1"/>
  <c r="I48" i="1" s="1"/>
  <c r="B111" i="1"/>
  <c r="I29" i="1" s="1"/>
  <c r="B110" i="1"/>
  <c r="I19" i="1" s="1"/>
  <c r="B109" i="1"/>
  <c r="E9" i="1" s="1"/>
  <c r="A23" i="4"/>
  <c r="F5" i="4" s="1"/>
  <c r="A25" i="4"/>
  <c r="C11" i="4" s="1"/>
  <c r="A24" i="4"/>
  <c r="A20" i="4" s="1"/>
  <c r="B94" i="1"/>
  <c r="A36" i="9"/>
  <c r="G11" i="9" s="1"/>
  <c r="A37" i="9"/>
  <c r="G12" i="9" s="1"/>
  <c r="A38" i="9"/>
  <c r="G13" i="9" s="1"/>
  <c r="A39" i="9"/>
  <c r="G14" i="9" s="1"/>
  <c r="A40" i="9"/>
  <c r="G15" i="9" s="1"/>
  <c r="A22" i="12"/>
  <c r="F8" i="12" s="1"/>
  <c r="D39" i="1"/>
  <c r="G39" i="1"/>
  <c r="A23" i="12"/>
  <c r="A24" i="12"/>
  <c r="A25" i="12"/>
  <c r="A26" i="12"/>
  <c r="A27" i="12"/>
  <c r="E14" i="6"/>
  <c r="C39" i="1"/>
  <c r="C40" i="1"/>
  <c r="D40" i="1"/>
  <c r="C41" i="1"/>
  <c r="D41" i="1"/>
  <c r="G40" i="1"/>
  <c r="G41" i="1"/>
  <c r="F39" i="1"/>
  <c r="F40" i="1"/>
  <c r="F41" i="1"/>
  <c r="C91" i="1"/>
  <c r="C107" i="1" s="1"/>
  <c r="I107" i="1" s="1"/>
  <c r="D71" i="1"/>
  <c r="D105" i="1" s="1"/>
  <c r="G61" i="1"/>
  <c r="G104" i="1" s="1"/>
  <c r="M104" i="1" s="1"/>
  <c r="H10" i="6"/>
  <c r="H11" i="6"/>
  <c r="H12" i="6"/>
  <c r="H13" i="6"/>
  <c r="H14" i="6"/>
  <c r="G12" i="6"/>
  <c r="H79" i="1" l="1"/>
  <c r="D32" i="1"/>
  <c r="D101" i="1" s="1"/>
  <c r="H30" i="1"/>
  <c r="H78" i="1"/>
  <c r="H13" i="7"/>
  <c r="H80" i="1"/>
  <c r="C81" i="1"/>
  <c r="C106" i="1" s="1"/>
  <c r="I106" i="1" s="1"/>
  <c r="F81" i="1"/>
  <c r="F106" i="1" s="1"/>
  <c r="L106" i="1" s="1"/>
  <c r="B84" i="1"/>
  <c r="I12" i="6"/>
  <c r="E12" i="6"/>
  <c r="H12" i="7"/>
  <c r="E15" i="9"/>
  <c r="E78" i="1"/>
  <c r="E79" i="1"/>
  <c r="E80" i="1"/>
  <c r="G81" i="1"/>
  <c r="G106" i="1" s="1"/>
  <c r="M106" i="1" s="1"/>
  <c r="D81" i="1"/>
  <c r="D106" i="1" s="1"/>
  <c r="J106" i="1" s="1"/>
  <c r="P106" i="1" s="1"/>
  <c r="H58" i="1"/>
  <c r="E10" i="6"/>
  <c r="H10" i="7"/>
  <c r="H89" i="1"/>
  <c r="E49" i="1"/>
  <c r="G11" i="6"/>
  <c r="E14" i="9"/>
  <c r="H88" i="1"/>
  <c r="H90" i="1"/>
  <c r="F91" i="1"/>
  <c r="F107" i="1" s="1"/>
  <c r="L107" i="1" s="1"/>
  <c r="G13" i="6"/>
  <c r="E69" i="1"/>
  <c r="H50" i="1"/>
  <c r="H20" i="1"/>
  <c r="F51" i="1"/>
  <c r="F103" i="1" s="1"/>
  <c r="L103" i="1" s="1"/>
  <c r="H48" i="1"/>
  <c r="D51" i="1"/>
  <c r="D103" i="1" s="1"/>
  <c r="J103" i="1" s="1"/>
  <c r="E88" i="1"/>
  <c r="E89" i="1"/>
  <c r="E90" i="1"/>
  <c r="G91" i="1"/>
  <c r="G107" i="1" s="1"/>
  <c r="M107" i="1" s="1"/>
  <c r="D91" i="1"/>
  <c r="E81" i="1"/>
  <c r="E106" i="1" s="1"/>
  <c r="K106" i="1" s="1"/>
  <c r="Q106" i="1" s="1"/>
  <c r="E13" i="6"/>
  <c r="F71" i="1"/>
  <c r="F105" i="1" s="1"/>
  <c r="L105" i="1" s="1"/>
  <c r="E11" i="6"/>
  <c r="G51" i="1"/>
  <c r="G103" i="1" s="1"/>
  <c r="M103" i="1" s="1"/>
  <c r="E48" i="1"/>
  <c r="E50" i="1"/>
  <c r="H49" i="1"/>
  <c r="C51" i="1"/>
  <c r="C103" i="1" s="1"/>
  <c r="I103" i="1" s="1"/>
  <c r="O103" i="1" s="1"/>
  <c r="J79" i="1"/>
  <c r="J49" i="1"/>
  <c r="G14" i="6"/>
  <c r="I14" i="6"/>
  <c r="A48" i="14"/>
  <c r="I79" i="1"/>
  <c r="E68" i="1"/>
  <c r="E70" i="1"/>
  <c r="J105" i="1"/>
  <c r="E12" i="9"/>
  <c r="E58" i="1"/>
  <c r="G10" i="6"/>
  <c r="I10" i="6"/>
  <c r="A16" i="4"/>
  <c r="A18" i="6" s="1"/>
  <c r="O107" i="1"/>
  <c r="J89" i="1"/>
  <c r="O106" i="1"/>
  <c r="B54" i="1"/>
  <c r="I49" i="1"/>
  <c r="B11" i="4"/>
  <c r="E29" i="1"/>
  <c r="E21" i="1"/>
  <c r="G8" i="12"/>
  <c r="D11" i="4"/>
  <c r="F32" i="1"/>
  <c r="F101" i="1" s="1"/>
  <c r="E31" i="1"/>
  <c r="A18" i="4"/>
  <c r="C27" i="14" s="1"/>
  <c r="H8" i="7"/>
  <c r="F7" i="4"/>
  <c r="B35" i="1"/>
  <c r="A21" i="4"/>
  <c r="C30" i="14" s="1"/>
  <c r="B10" i="4"/>
  <c r="D10" i="4"/>
  <c r="E9" i="9"/>
  <c r="A44" i="14"/>
  <c r="E8" i="9"/>
  <c r="A17" i="4"/>
  <c r="G6" i="6"/>
  <c r="I6" i="12"/>
  <c r="E9" i="12"/>
  <c r="G7" i="6"/>
  <c r="E19" i="1"/>
  <c r="F22" i="1"/>
  <c r="F100" i="1" s="1"/>
  <c r="L100" i="1" s="1"/>
  <c r="C42" i="1"/>
  <c r="C102" i="1" s="1"/>
  <c r="I102" i="1" s="1"/>
  <c r="O102" i="1" s="1"/>
  <c r="E7" i="6"/>
  <c r="C9" i="6"/>
  <c r="E9" i="6" s="1"/>
  <c r="G7" i="12"/>
  <c r="I7" i="12"/>
  <c r="C8" i="4"/>
  <c r="C12" i="4" s="1"/>
  <c r="B9" i="4"/>
  <c r="D8" i="4"/>
  <c r="D12" i="4" s="1"/>
  <c r="E7" i="9"/>
  <c r="C9" i="7"/>
  <c r="E9" i="7" s="1"/>
  <c r="G8" i="6"/>
  <c r="D9" i="4"/>
  <c r="B8" i="4"/>
  <c r="B12" i="4" s="1"/>
  <c r="L101" i="1"/>
  <c r="E20" i="1"/>
  <c r="H21" i="1"/>
  <c r="H19" i="1"/>
  <c r="E11" i="9"/>
  <c r="E13" i="9"/>
  <c r="G32" i="1"/>
  <c r="G101" i="1" s="1"/>
  <c r="M101" i="1" s="1"/>
  <c r="F61" i="1"/>
  <c r="F104" i="1" s="1"/>
  <c r="L104" i="1" s="1"/>
  <c r="E60" i="1"/>
  <c r="H59" i="1"/>
  <c r="E30" i="1"/>
  <c r="H29" i="1"/>
  <c r="H31" i="1"/>
  <c r="H68" i="1"/>
  <c r="H69" i="1"/>
  <c r="H70" i="1"/>
  <c r="G71" i="1"/>
  <c r="C61" i="1"/>
  <c r="C71" i="1"/>
  <c r="C105" i="1" s="1"/>
  <c r="I105" i="1" s="1"/>
  <c r="D22" i="1"/>
  <c r="D100" i="1" s="1"/>
  <c r="J101" i="1"/>
  <c r="F42" i="1"/>
  <c r="F102" i="1" s="1"/>
  <c r="L102" i="1" s="1"/>
  <c r="E40" i="1"/>
  <c r="H41" i="1"/>
  <c r="E6" i="6"/>
  <c r="E8" i="6"/>
  <c r="D10" i="9"/>
  <c r="G12" i="12"/>
  <c r="I13" i="6"/>
  <c r="I11" i="6"/>
  <c r="H14" i="7"/>
  <c r="I8" i="6"/>
  <c r="H7" i="7"/>
  <c r="A42" i="14"/>
  <c r="A47" i="14"/>
  <c r="H11" i="1"/>
  <c r="J20" i="1"/>
  <c r="J31" i="1"/>
  <c r="J70" i="1"/>
  <c r="E8" i="7"/>
  <c r="D9" i="6"/>
  <c r="F9" i="6" s="1"/>
  <c r="D61" i="1"/>
  <c r="D104" i="1" s="1"/>
  <c r="J104" i="1" s="1"/>
  <c r="A46" i="14"/>
  <c r="J60" i="1"/>
  <c r="E59" i="1"/>
  <c r="H60" i="1"/>
  <c r="H11" i="7"/>
  <c r="E11" i="7"/>
  <c r="C10" i="9"/>
  <c r="F6" i="4"/>
  <c r="I20" i="1"/>
  <c r="A43" i="14"/>
  <c r="A22" i="6"/>
  <c r="C29" i="14"/>
  <c r="I89" i="1"/>
  <c r="C9" i="12"/>
  <c r="E10" i="7"/>
  <c r="F7" i="7"/>
  <c r="C9" i="4"/>
  <c r="G12" i="1"/>
  <c r="G99" i="1" s="1"/>
  <c r="M99" i="1" s="1"/>
  <c r="D12" i="1"/>
  <c r="D99" i="1" s="1"/>
  <c r="J99" i="1" s="1"/>
  <c r="J100" i="1"/>
  <c r="C32" i="1"/>
  <c r="C101" i="1" s="1"/>
  <c r="I101" i="1" s="1"/>
  <c r="G42" i="1"/>
  <c r="G102" i="1" s="1"/>
  <c r="M102" i="1" s="1"/>
  <c r="E41" i="1"/>
  <c r="G13" i="12"/>
  <c r="H39" i="1"/>
  <c r="A49" i="14"/>
  <c r="B74" i="1"/>
  <c r="B25" i="1"/>
  <c r="E10" i="1"/>
  <c r="J21" i="1"/>
  <c r="J19" i="1"/>
  <c r="J30" i="1"/>
  <c r="J50" i="1"/>
  <c r="J48" i="1"/>
  <c r="J59" i="1"/>
  <c r="J69" i="1"/>
  <c r="J80" i="1"/>
  <c r="J78" i="1"/>
  <c r="J90" i="1"/>
  <c r="J88" i="1"/>
  <c r="C10" i="4"/>
  <c r="F12" i="1"/>
  <c r="C12" i="1"/>
  <c r="P100" i="1"/>
  <c r="G22" i="1"/>
  <c r="G100" i="1" s="1"/>
  <c r="M100" i="1" s="1"/>
  <c r="C22" i="1"/>
  <c r="C100" i="1" s="1"/>
  <c r="I100" i="1" s="1"/>
  <c r="D42" i="1"/>
  <c r="D102" i="1" s="1"/>
  <c r="J102" i="1" s="1"/>
  <c r="P102" i="1" s="1"/>
  <c r="H40" i="1"/>
  <c r="G10" i="12"/>
  <c r="G14" i="12"/>
  <c r="E14" i="12"/>
  <c r="I14" i="12" s="1"/>
  <c r="E13" i="12"/>
  <c r="I13" i="12" s="1"/>
  <c r="E12" i="12"/>
  <c r="I12" i="12" s="1"/>
  <c r="E11" i="12"/>
  <c r="I11" i="12" s="1"/>
  <c r="E10" i="12"/>
  <c r="I10" i="12" s="1"/>
  <c r="E39" i="1"/>
  <c r="I8" i="12"/>
  <c r="B64" i="1"/>
  <c r="A19" i="4"/>
  <c r="H9" i="1"/>
  <c r="J9" i="1" s="1"/>
  <c r="I21" i="1"/>
  <c r="J29" i="1"/>
  <c r="I50" i="1"/>
  <c r="J58" i="1"/>
  <c r="J68" i="1"/>
  <c r="I80" i="1"/>
  <c r="I90" i="1"/>
  <c r="G11" i="12"/>
  <c r="D9" i="7"/>
  <c r="F9" i="7" s="1"/>
  <c r="F7" i="6"/>
  <c r="E14" i="7"/>
  <c r="F14" i="12"/>
  <c r="E13" i="7"/>
  <c r="F13" i="12"/>
  <c r="I70" i="1"/>
  <c r="I69" i="1"/>
  <c r="E12" i="7"/>
  <c r="F12" i="12"/>
  <c r="I60" i="1"/>
  <c r="I59" i="1"/>
  <c r="F11" i="12"/>
  <c r="F10" i="12"/>
  <c r="A45" i="14"/>
  <c r="E7" i="7"/>
  <c r="F7" i="12"/>
  <c r="C18" i="14"/>
  <c r="I31" i="1"/>
  <c r="I30" i="1"/>
  <c r="B15" i="1"/>
  <c r="E11" i="1"/>
  <c r="H10" i="1"/>
  <c r="D9" i="12"/>
  <c r="E6" i="7"/>
  <c r="F6" i="7"/>
  <c r="F6" i="6"/>
  <c r="F6" i="12"/>
  <c r="H81" i="1" l="1"/>
  <c r="H106" i="1" s="1"/>
  <c r="N106" i="1" s="1"/>
  <c r="H51" i="1"/>
  <c r="H103" i="1" s="1"/>
  <c r="N103" i="1" s="1"/>
  <c r="P103" i="1"/>
  <c r="E51" i="1"/>
  <c r="E103" i="1" s="1"/>
  <c r="K103" i="1" s="1"/>
  <c r="Q103" i="1" s="1"/>
  <c r="M8" i="18"/>
  <c r="L8" i="18"/>
  <c r="K8" i="18"/>
  <c r="H91" i="1"/>
  <c r="H107" i="1" s="1"/>
  <c r="N107" i="1" s="1"/>
  <c r="D107" i="1"/>
  <c r="J107" i="1" s="1"/>
  <c r="E91" i="1"/>
  <c r="E107" i="1" s="1"/>
  <c r="K107" i="1" s="1"/>
  <c r="C38" i="14"/>
  <c r="P105" i="1"/>
  <c r="B63" i="1"/>
  <c r="H61" i="1"/>
  <c r="H104" i="1" s="1"/>
  <c r="N104" i="1" s="1"/>
  <c r="P104" i="1"/>
  <c r="B53" i="1"/>
  <c r="C21" i="14"/>
  <c r="P101" i="1"/>
  <c r="C25" i="14"/>
  <c r="E10" i="9"/>
  <c r="B93" i="1"/>
  <c r="B83" i="1"/>
  <c r="O105" i="1"/>
  <c r="B73" i="1"/>
  <c r="G105" i="1"/>
  <c r="M105" i="1" s="1"/>
  <c r="H71" i="1"/>
  <c r="H105" i="1" s="1"/>
  <c r="N105" i="1" s="1"/>
  <c r="E71" i="1"/>
  <c r="E105" i="1" s="1"/>
  <c r="K105" i="1" s="1"/>
  <c r="E32" i="1"/>
  <c r="E101" i="1" s="1"/>
  <c r="K101" i="1" s="1"/>
  <c r="A23" i="6"/>
  <c r="C20" i="14"/>
  <c r="A20" i="6"/>
  <c r="J39" i="1"/>
  <c r="I99" i="1"/>
  <c r="B34" i="1"/>
  <c r="O101" i="1"/>
  <c r="H32" i="1"/>
  <c r="H101" i="1" s="1"/>
  <c r="N101" i="1" s="1"/>
  <c r="C26" i="14"/>
  <c r="A19" i="6"/>
  <c r="I40" i="1"/>
  <c r="P99" i="1"/>
  <c r="F9" i="12"/>
  <c r="J11" i="1"/>
  <c r="E12" i="1"/>
  <c r="E99" i="1" s="1"/>
  <c r="K99" i="1" s="1"/>
  <c r="Q99" i="1" s="1"/>
  <c r="L99" i="1"/>
  <c r="C22" i="14"/>
  <c r="G9" i="6"/>
  <c r="H12" i="1"/>
  <c r="H99" i="1" s="1"/>
  <c r="N99" i="1" s="1"/>
  <c r="J10" i="1"/>
  <c r="H42" i="1"/>
  <c r="H102" i="1" s="1"/>
  <c r="N102" i="1" s="1"/>
  <c r="I39" i="1"/>
  <c r="J41" i="1"/>
  <c r="J40" i="1"/>
  <c r="C35" i="14"/>
  <c r="C19" i="14"/>
  <c r="C39" i="14"/>
  <c r="E61" i="1"/>
  <c r="E104" i="1" s="1"/>
  <c r="K104" i="1" s="1"/>
  <c r="C104" i="1"/>
  <c r="I104" i="1" s="1"/>
  <c r="C23" i="14"/>
  <c r="O100" i="1"/>
  <c r="E22" i="1"/>
  <c r="E100" i="1" s="1"/>
  <c r="K100" i="1" s="1"/>
  <c r="I41" i="1"/>
  <c r="H22" i="1"/>
  <c r="H100" i="1" s="1"/>
  <c r="N100" i="1" s="1"/>
  <c r="E42" i="1"/>
  <c r="E102" i="1" s="1"/>
  <c r="K102" i="1" s="1"/>
  <c r="C33" i="14"/>
  <c r="B24" i="1"/>
  <c r="G9" i="12"/>
  <c r="C36" i="14"/>
  <c r="C37" i="14"/>
  <c r="C28" i="14"/>
  <c r="A21" i="6"/>
  <c r="C34" i="14"/>
  <c r="K10" i="18" l="1"/>
  <c r="L10" i="18"/>
  <c r="M10" i="18"/>
  <c r="P107" i="1"/>
  <c r="Q107" i="1"/>
  <c r="Q101" i="1"/>
  <c r="Q105" i="1"/>
  <c r="Q104" i="1"/>
  <c r="O104" i="1"/>
  <c r="O99" i="1"/>
  <c r="C32" i="14"/>
  <c r="B14" i="1"/>
  <c r="B44" i="1"/>
  <c r="Q100" i="1"/>
  <c r="Q102" i="1"/>
</calcChain>
</file>

<file path=xl/sharedStrings.xml><?xml version="1.0" encoding="utf-8"?>
<sst xmlns="http://schemas.openxmlformats.org/spreadsheetml/2006/main" count="361" uniqueCount="154">
  <si>
    <t>1-10 bbl</t>
  </si>
  <si>
    <t>10-100 bbl</t>
  </si>
  <si>
    <t>&gt; 100 bbl</t>
  </si>
  <si>
    <t>Total</t>
  </si>
  <si>
    <t>Por favor incluya todos los datos de las empresas subsidiarias de un país en cada formulario, y complete un formulario por país. Utilice un archivo electrónico por país.</t>
  </si>
  <si>
    <t>Transporte por Ductos</t>
  </si>
  <si>
    <t>Movimiento de Terminales</t>
  </si>
  <si>
    <t>Actividad de Refinación</t>
  </si>
  <si>
    <t>ES EXTREMADAMENTE IMPORTANTE QUE SE INDIQUEN LAS VARIACIONES EN LAS DEFINICIONES DE ARPEL</t>
  </si>
  <si>
    <t>Cantidad (bbl)</t>
  </si>
  <si>
    <t>Ductos</t>
  </si>
  <si>
    <t>Terminales</t>
  </si>
  <si>
    <t>Refinación</t>
  </si>
  <si>
    <t>Distribución / Transporte</t>
  </si>
  <si>
    <t>Actividad</t>
  </si>
  <si>
    <t>Descarga de petróleo en agua (t)</t>
  </si>
  <si>
    <t>Distribución/Transporte</t>
  </si>
  <si>
    <t>ES SUMAMENTE IMPORTANTE QUE SE INDIQUEN LAS VARIACIONES EN LAS DEFINICIONES DE ARPEL</t>
  </si>
  <si>
    <t>En tierra</t>
  </si>
  <si>
    <t>Costa afuera</t>
  </si>
  <si>
    <t>Petroquímica</t>
  </si>
  <si>
    <t>Actividad de Petroquímica</t>
  </si>
  <si>
    <t>Tabla 4 - Derrames de Hidrocarburos en el ambiente en bbl</t>
  </si>
  <si>
    <t>Descarga de petróleo en agua de producción (t)</t>
  </si>
  <si>
    <t>Tabla 6 – Descargas controladas de hidrocarburos como efluentes de proceso</t>
  </si>
  <si>
    <t xml:space="preserve">Tabla 3 - Factores de normalización - Datos anuales para el año de notificación               </t>
  </si>
  <si>
    <t>Concentración de HC en agua (mg/L)</t>
  </si>
  <si>
    <t>Tabla 5 – Agua de Producción: Descargas y Re-inyección</t>
  </si>
  <si>
    <t>Tabla 8 – Consumo de Agua Dulce</t>
  </si>
  <si>
    <t>% Reutilización</t>
  </si>
  <si>
    <t>Indicadores Normalizados</t>
  </si>
  <si>
    <t>No Convencionales</t>
  </si>
  <si>
    <t>No convencionales</t>
  </si>
  <si>
    <t>Indicador (1) (costa afuera)</t>
  </si>
  <si>
    <t>Indicador (2) (en tierra)</t>
  </si>
  <si>
    <t>Indicador (3) (no convencionales)</t>
  </si>
  <si>
    <t>Indicador (4) (producción total)</t>
  </si>
  <si>
    <t>Indicador Agua Descargada (m3/10^3Ton)</t>
  </si>
  <si>
    <t>Total
(10^3 Ton)</t>
  </si>
  <si>
    <t>Gases 
(10^3 Ton)</t>
  </si>
  <si>
    <t>Producción En tierra</t>
  </si>
  <si>
    <t>Producción Total</t>
  </si>
  <si>
    <t>En agua</t>
  </si>
  <si>
    <t>Resumen</t>
  </si>
  <si>
    <t>Número de derrames</t>
  </si>
  <si>
    <t>En suelo</t>
  </si>
  <si>
    <t>Indicador cantidad (bbl)</t>
  </si>
  <si>
    <t>Promedio x derrame</t>
  </si>
  <si>
    <t>Indicador # Derrames</t>
  </si>
  <si>
    <r>
      <t>Descarga de agua de producción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</si>
  <si>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Re-inyección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</si>
  <si>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Agua descargada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</si>
  <si>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t>Checklist</t>
  </si>
  <si>
    <t>2 - Unidades en las que se reporta. Verifique en cada tabla de datos que haya utilizado la unidad correcta.</t>
  </si>
  <si>
    <t>NP</t>
  </si>
  <si>
    <t>Miles de Toneladas</t>
  </si>
  <si>
    <t>T3 - Factores de normalización</t>
  </si>
  <si>
    <t>T5 - Agua de Producción</t>
  </si>
  <si>
    <t>Descargas de petróleo en agua de prod - Ton/año</t>
  </si>
  <si>
    <t>T6 - Efluentes</t>
  </si>
  <si>
    <t>Agua descargada - m3/año</t>
  </si>
  <si>
    <t>Descargas de petróleo en agua - Ton/año</t>
  </si>
  <si>
    <t>T7 - Residuos</t>
  </si>
  <si>
    <t>T8 - Uso del Agua</t>
  </si>
  <si>
    <t>Agua Dulce Extraída (m3/año)</t>
  </si>
  <si>
    <t>Pendiente</t>
  </si>
  <si>
    <t>Status</t>
  </si>
  <si>
    <t>* Favor revise la lista de chequeo antes de enviar la información. Todas las celdas de status deben decir OK.</t>
  </si>
  <si>
    <t>Tabla 1 - Contacto de la empresa</t>
  </si>
  <si>
    <t>Nombre de la persona de contacto</t>
  </si>
  <si>
    <t>Teléfono de la persona de contacto</t>
  </si>
  <si>
    <t>Correo electrónico de la persona de contacto</t>
  </si>
  <si>
    <t>Tabla 2 - Empresa y país que notifica</t>
  </si>
  <si>
    <t>Empresa</t>
  </si>
  <si>
    <t>País</t>
  </si>
  <si>
    <t>Indique qué funciones / líneas de negocio reportará</t>
  </si>
  <si>
    <t>¿Los datos de producción incluyen las embarcaciones de apoyo y en stand by (Sí/No)?</t>
  </si>
  <si>
    <r>
      <t>Cantidad de agua de lastre descargada en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: </t>
    </r>
  </si>
  <si>
    <t>Producción Bruta de Hidrocarburos</t>
  </si>
  <si>
    <t>Líquidos
(10^3 Ton)</t>
  </si>
  <si>
    <t>Número</t>
  </si>
  <si>
    <t>Checklist - lista de chequeo</t>
  </si>
  <si>
    <t>Suelo</t>
  </si>
  <si>
    <t>Agua</t>
  </si>
  <si>
    <t>Kms de ductos</t>
  </si>
  <si>
    <t>Cantidad de Terminales</t>
  </si>
  <si>
    <t>Cantidad de Refinerías</t>
  </si>
  <si>
    <t>Cantidad de Plantas Petroquímicas</t>
  </si>
  <si>
    <r>
      <t># Pozos de producción</t>
    </r>
    <r>
      <rPr>
        <i/>
        <sz val="11"/>
        <rFont val="Calibri"/>
        <family val="2"/>
        <scheme val="minor"/>
      </rPr>
      <t xml:space="preserve"> Costa afuera</t>
    </r>
  </si>
  <si>
    <r>
      <t xml:space="preserve"># Pozos de producción </t>
    </r>
    <r>
      <rPr>
        <i/>
        <sz val="11"/>
        <rFont val="Calibri"/>
        <family val="2"/>
        <scheme val="minor"/>
      </rPr>
      <t>en tierra</t>
    </r>
  </si>
  <si>
    <r>
      <t># Pozos de producción</t>
    </r>
    <r>
      <rPr>
        <i/>
        <sz val="11"/>
        <rFont val="Calibri"/>
        <family val="2"/>
        <scheme val="minor"/>
      </rPr>
      <t xml:space="preserve"> no convencionales</t>
    </r>
  </si>
  <si>
    <t>ALCANCE DE LA INFORMACIÓN</t>
  </si>
  <si>
    <t>Disposición de residuos peligrosos y no peligrosos- TM</t>
  </si>
  <si>
    <t>Descargas de agua de producción y re-inyección de agua - m3/año</t>
  </si>
  <si>
    <t>Agua Dulce Extraída y reutilizada (m3/año)</t>
  </si>
  <si>
    <t>3 - No dejar celdas vacías (diferenciarlas de ceros y NDD)</t>
  </si>
  <si>
    <t>Agua en Actividades de producción costa afuera</t>
  </si>
  <si>
    <t>Agua en actividades de producción en tierra</t>
  </si>
  <si>
    <t>Agua en actividades de producción de no convencionales</t>
  </si>
  <si>
    <t>HC en Actividades de producción costa afuera</t>
  </si>
  <si>
    <t>HC en actividades de producción en tierra</t>
  </si>
  <si>
    <t>HC en actividades de producción de no convencionales</t>
  </si>
  <si>
    <t>Producción costa afuera</t>
  </si>
  <si>
    <t>Producción en tierra</t>
  </si>
  <si>
    <t>Producción de no convencionales</t>
  </si>
  <si>
    <t>4 - Diferenciar descargas de agua de producción de agua como efluente.</t>
  </si>
  <si>
    <t>Producción (costa afuera)</t>
  </si>
  <si>
    <t>Producción (en tierra)</t>
  </si>
  <si>
    <t>Producción (No convencionales)</t>
  </si>
  <si>
    <t>Total Producción costa afuera</t>
  </si>
  <si>
    <t>Total Producción en tierra</t>
  </si>
  <si>
    <t>Producción no convencionales</t>
  </si>
  <si>
    <t>Total Producción</t>
  </si>
  <si>
    <t>Producción Costa afuera</t>
  </si>
  <si>
    <t>Producción No convencionales</t>
  </si>
  <si>
    <t>Producción</t>
  </si>
  <si>
    <t>Tabla 7 – Residuos y Materiales Residuales (N.A.: Para la función de Producción, los residuos provenientes de operaciones costa afuera, aunque se dispongan en tierra, deben registrarse como costa afuera)</t>
  </si>
  <si>
    <t>* Deberá ingresar todos los datos de una fila o columna para que el excel realice los cálculos, de otra forma aparecerá NDD en la fila/columna de totales.</t>
  </si>
  <si>
    <t>Total Producción de no convencionales</t>
  </si>
  <si>
    <t>Total Ductos</t>
  </si>
  <si>
    <t>Total Terminales</t>
  </si>
  <si>
    <t>Total Distribución / Transporte</t>
  </si>
  <si>
    <t>Total Refinación</t>
  </si>
  <si>
    <t>Total Petroquímica</t>
  </si>
  <si>
    <t>T4 - derrames (Tabla 4)</t>
  </si>
  <si>
    <t># de derrames (Tabla 4) (Tabla 4) / Barriles derramados</t>
  </si>
  <si>
    <t>1 - Comparar la información reportada con datos de años anteriores (ver la hoja de 'datos históricos')</t>
  </si>
  <si>
    <t>5 - Revisar que los derrames hayan sido correctamente reportados por tipo y volumen.</t>
  </si>
  <si>
    <t>Agua reutilizada / reciclada (m3/año)</t>
  </si>
  <si>
    <t>* En Producción 'en tierra' se debe incluir la producción de 'no convencionales'.</t>
  </si>
  <si>
    <t>% de agua dulce extraída de fuentes indirectas</t>
  </si>
  <si>
    <t>Tabla 3.1 - Alcance de la información</t>
  </si>
  <si>
    <t>Indicador Descarga de Petróleo en Agua (t/10^9 Ton)</t>
  </si>
  <si>
    <t>Indicador Residuos Peligrosos Regulados (TM Res/10^6 Ton de HC)</t>
  </si>
  <si>
    <t>Indicador Normalizado Residuos No-Peligrosos (TM Res/10^6 Ton de HC)</t>
  </si>
  <si>
    <t>Indicador Agua extraída (m3/10^3ton)</t>
  </si>
  <si>
    <t>Datos de año</t>
  </si>
  <si>
    <t>Tabla 9 – Emisiones de gases de efecto invernadero</t>
  </si>
  <si>
    <t>Generación de Residuos Peligrosos Regulados (toneladas métricas)</t>
  </si>
  <si>
    <t>Generación de Residuos No-Peligrosos (toneladas métricas)</t>
  </si>
  <si>
    <t>Directas</t>
  </si>
  <si>
    <t>Indirectas</t>
  </si>
  <si>
    <t>Totales</t>
  </si>
  <si>
    <t>Con el objetivo de mejorar la comparabilidad de los datos, se agradece por favor indicar que metología se utilizó para estimar/medir las emisiones de cada uno de los gases:</t>
  </si>
  <si>
    <r>
      <t>(en 10</t>
    </r>
    <r>
      <rPr>
        <b/>
        <vertAlign val="superscript"/>
        <sz val="12"/>
        <color rgb="FFC00000"/>
        <rFont val="Calibri"/>
        <family val="2"/>
        <scheme val="minor"/>
      </rPr>
      <t>3</t>
    </r>
    <r>
      <rPr>
        <b/>
        <sz val="12"/>
        <color rgb="FFC00000"/>
        <rFont val="Calibri"/>
        <family val="2"/>
        <scheme val="minor"/>
      </rPr>
      <t xml:space="preserve"> Ton) - Por detalles ver Capítulo 6.1 del Manual</t>
    </r>
  </si>
  <si>
    <r>
      <t>Dióxido de carbono 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 (10^3 Ton/año)</t>
    </r>
  </si>
  <si>
    <r>
      <t>Metano - CH</t>
    </r>
    <r>
      <rPr>
        <b/>
        <vertAlign val="subscript"/>
        <sz val="11"/>
        <color theme="0"/>
        <rFont val="Calibri"/>
        <family val="2"/>
        <scheme val="minor"/>
      </rPr>
      <t>4</t>
    </r>
    <r>
      <rPr>
        <b/>
        <sz val="11"/>
        <color theme="0"/>
        <rFont val="Calibri"/>
        <family val="2"/>
        <scheme val="minor"/>
      </rPr>
      <t xml:space="preserve"> (10^3 Ton/año)</t>
    </r>
  </si>
  <si>
    <r>
      <t>Óxido Nitroso - N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 (10^3 Ton/año)</t>
    </r>
  </si>
  <si>
    <r>
      <t>Emisiones totales - CO</t>
    </r>
    <r>
      <rPr>
        <b/>
        <vertAlign val="subscript"/>
        <sz val="11"/>
        <rFont val="Calibri"/>
        <family val="2"/>
        <scheme val="minor"/>
      </rPr>
      <t xml:space="preserve">2, </t>
    </r>
    <r>
      <rPr>
        <b/>
        <sz val="10"/>
        <rFont val="Calibri"/>
        <family val="2"/>
        <scheme val="minor"/>
      </rPr>
      <t>equiv</t>
    </r>
    <r>
      <rPr>
        <b/>
        <sz val="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(10^3 Ton/año)</t>
    </r>
  </si>
  <si>
    <r>
      <t>Indicador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(10^3 Ton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/10^3 Ton HC)</t>
    </r>
  </si>
  <si>
    <r>
      <t>Indicador CH</t>
    </r>
    <r>
      <rPr>
        <b/>
        <vertAlign val="subscript"/>
        <sz val="11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 (10^3 Ton CH</t>
    </r>
    <r>
      <rPr>
        <b/>
        <vertAlign val="subscript"/>
        <sz val="11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>/10^3 Ton HC)</t>
    </r>
  </si>
  <si>
    <r>
      <t>Indicador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(10^3 Ton 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O/10^3 Ton HC)</t>
    </r>
  </si>
  <si>
    <r>
      <t>Indicador emisiones totales - (10^3 Ton CO</t>
    </r>
    <r>
      <rPr>
        <b/>
        <sz val="10"/>
        <rFont val="Calibri"/>
        <family val="2"/>
        <scheme val="minor"/>
      </rPr>
      <t>2,equiv</t>
    </r>
    <r>
      <rPr>
        <b/>
        <sz val="11"/>
        <rFont val="Calibri"/>
        <family val="2"/>
        <scheme val="minor"/>
      </rPr>
      <t>/10^3 Ton HC)</t>
    </r>
  </si>
  <si>
    <t>Benchmarking de Desempeño Ambiental de ARPEL 2018 (Datos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</si>
</sst>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E+00"/>
    <numFmt numFmtId="166" formatCode="0.0E+00\ &quot;m3/10E3 Ton&quot;"/>
    <numFmt numFmtId="167" formatCode="0.0E+00\ &quot;t/10E9 Ton&quot;"/>
    <numFmt numFmtId="168" formatCode="0.0\ &quot;mgHC/L&quot;"/>
    <numFmt numFmtId="169" formatCode="0.0E+00\ &quot;m3/10E3Ton&quot;"/>
    <numFmt numFmtId="170" formatCode="0.0E+00\ &quot;t/10E6 Ton&quot;"/>
    <numFmt numFmtId="171" formatCode="0.0E+00\ &quot;TM/10E6 Ton&quot;"/>
  </numFmts>
  <fonts count="4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vertAlign val="superscript"/>
      <sz val="12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9" fillId="0" borderId="0"/>
  </cellStyleXfs>
  <cellXfs count="554">
    <xf numFmtId="0" fontId="0" fillId="0" borderId="0" xfId="0"/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6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6" fillId="0" borderId="12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3" fontId="7" fillId="6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5" xfId="0" applyFont="1" applyBorder="1" applyAlignment="1" applyProtection="1"/>
    <xf numFmtId="0" fontId="5" fillId="0" borderId="0" xfId="0" applyFont="1" applyAlignment="1" applyProtection="1">
      <alignment horizontal="left" vertical="top" wrapText="1"/>
    </xf>
    <xf numFmtId="0" fontId="11" fillId="0" borderId="0" xfId="0" applyFont="1"/>
    <xf numFmtId="0" fontId="10" fillId="0" borderId="0" xfId="0" applyFont="1" applyAlignment="1">
      <alignment vertical="center" wrapText="1"/>
    </xf>
    <xf numFmtId="0" fontId="15" fillId="11" borderId="0" xfId="0" applyFont="1" applyFill="1" applyAlignment="1">
      <alignment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0" fontId="16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justify"/>
    </xf>
    <xf numFmtId="0" fontId="4" fillId="0" borderId="0" xfId="0" applyFont="1" applyBorder="1" applyAlignment="1" applyProtection="1">
      <alignment horizontal="center" vertical="top" wrapText="1"/>
    </xf>
    <xf numFmtId="0" fontId="14" fillId="0" borderId="0" xfId="0" applyFont="1" applyAlignment="1" applyProtection="1"/>
    <xf numFmtId="0" fontId="11" fillId="0" borderId="0" xfId="0" applyFont="1" applyBorder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/>
    <xf numFmtId="0" fontId="11" fillId="0" borderId="0" xfId="0" applyFont="1" applyFill="1" applyBorder="1" applyProtection="1"/>
    <xf numFmtId="3" fontId="11" fillId="0" borderId="0" xfId="0" applyNumberFormat="1" applyFont="1" applyProtection="1"/>
    <xf numFmtId="1" fontId="11" fillId="0" borderId="0" xfId="0" applyNumberFormat="1" applyFont="1" applyBorder="1" applyAlignment="1" applyProtection="1">
      <alignment horizontal="right"/>
    </xf>
    <xf numFmtId="0" fontId="11" fillId="2" borderId="2" xfId="0" applyFont="1" applyFill="1" applyBorder="1" applyAlignment="1" applyProtection="1">
      <protection locked="0"/>
    </xf>
    <xf numFmtId="0" fontId="11" fillId="3" borderId="2" xfId="0" applyFont="1" applyFill="1" applyBorder="1" applyProtection="1">
      <protection locked="0"/>
    </xf>
    <xf numFmtId="0" fontId="15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Protection="1"/>
    <xf numFmtId="0" fontId="3" fillId="10" borderId="2" xfId="0" applyFont="1" applyFill="1" applyBorder="1" applyAlignment="1" applyProtection="1">
      <alignment horizontal="center" vertical="top" wrapText="1"/>
    </xf>
    <xf numFmtId="0" fontId="3" fillId="10" borderId="8" xfId="0" applyFont="1" applyFill="1" applyBorder="1" applyAlignment="1" applyProtection="1">
      <alignment horizontal="center" vertical="top" wrapText="1"/>
    </xf>
    <xf numFmtId="3" fontId="4" fillId="15" borderId="4" xfId="0" applyNumberFormat="1" applyFont="1" applyFill="1" applyBorder="1" applyAlignment="1" applyProtection="1">
      <alignment horizontal="right" vertical="top" wrapText="1"/>
      <protection locked="0"/>
    </xf>
    <xf numFmtId="0" fontId="17" fillId="13" borderId="2" xfId="0" applyFont="1" applyFill="1" applyBorder="1" applyAlignment="1" applyProtection="1">
      <alignment horizontal="justify" vertical="top" wrapText="1"/>
    </xf>
    <xf numFmtId="0" fontId="17" fillId="13" borderId="1" xfId="0" applyFont="1" applyFill="1" applyBorder="1" applyAlignment="1" applyProtection="1">
      <alignment horizontal="justify" vertical="top" wrapText="1"/>
    </xf>
    <xf numFmtId="0" fontId="13" fillId="0" borderId="0" xfId="0" applyFont="1" applyFill="1" applyBorder="1" applyAlignment="1" applyProtection="1">
      <alignment vertical="top" wrapText="1"/>
    </xf>
    <xf numFmtId="0" fontId="11" fillId="0" borderId="0" xfId="0" applyFont="1" applyFill="1" applyAlignment="1" applyProtection="1"/>
    <xf numFmtId="0" fontId="15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justify" vertical="top" wrapText="1"/>
    </xf>
    <xf numFmtId="0" fontId="13" fillId="0" borderId="0" xfId="0" applyFont="1" applyFill="1" applyAlignment="1" applyProtection="1">
      <alignment wrapText="1"/>
    </xf>
    <xf numFmtId="0" fontId="10" fillId="11" borderId="0" xfId="0" applyFont="1" applyFill="1" applyAlignment="1" applyProtection="1">
      <alignment vertical="center"/>
    </xf>
    <xf numFmtId="0" fontId="15" fillId="11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166" fontId="4" fillId="0" borderId="0" xfId="0" applyNumberFormat="1" applyFont="1" applyFill="1" applyBorder="1" applyAlignment="1" applyProtection="1">
      <alignment horizontal="right" vertical="top" wrapText="1"/>
      <protection locked="0"/>
    </xf>
    <xf numFmtId="1" fontId="4" fillId="0" borderId="0" xfId="0" applyNumberFormat="1" applyFont="1" applyFill="1" applyBorder="1" applyAlignment="1" applyProtection="1">
      <alignment horizontal="right" vertical="top" wrapText="1"/>
      <protection locked="0"/>
    </xf>
    <xf numFmtId="167" fontId="4" fillId="0" borderId="0" xfId="0" applyNumberFormat="1" applyFont="1" applyFill="1" applyBorder="1" applyAlignment="1" applyProtection="1">
      <alignment horizontal="right" vertical="top" wrapText="1"/>
      <protection locked="0"/>
    </xf>
    <xf numFmtId="168" fontId="4" fillId="0" borderId="0" xfId="0" applyNumberFormat="1" applyFont="1" applyFill="1" applyBorder="1" applyAlignment="1" applyProtection="1">
      <alignment horizontal="right"/>
      <protection locked="0"/>
    </xf>
    <xf numFmtId="0" fontId="5" fillId="11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3" fillId="10" borderId="8" xfId="0" applyFont="1" applyFill="1" applyBorder="1" applyAlignment="1" applyProtection="1">
      <alignment horizontal="center" vertical="center" wrapText="1"/>
    </xf>
    <xf numFmtId="0" fontId="7" fillId="19" borderId="2" xfId="0" applyFont="1" applyFill="1" applyBorder="1" applyAlignment="1" applyProtection="1">
      <alignment horizontal="justify" vertical="top" wrapText="1"/>
    </xf>
    <xf numFmtId="164" fontId="4" fillId="15" borderId="4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vertical="center" wrapText="1"/>
    </xf>
    <xf numFmtId="0" fontId="4" fillId="0" borderId="0" xfId="0" applyFont="1"/>
    <xf numFmtId="0" fontId="4" fillId="11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6" fillId="0" borderId="0" xfId="0" applyFont="1" applyFill="1" applyAlignment="1" applyProtection="1"/>
    <xf numFmtId="0" fontId="7" fillId="0" borderId="0" xfId="0" applyFont="1" applyFill="1" applyAlignment="1" applyProtection="1"/>
    <xf numFmtId="0" fontId="6" fillId="0" borderId="0" xfId="0" applyFont="1" applyBorder="1" applyAlignment="1" applyProtection="1">
      <alignment horizontal="center" wrapText="1"/>
    </xf>
    <xf numFmtId="0" fontId="3" fillId="10" borderId="9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3" fillId="10" borderId="8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Border="1" applyAlignment="1" applyProtection="1">
      <alignment vertical="center"/>
    </xf>
    <xf numFmtId="0" fontId="7" fillId="17" borderId="2" xfId="0" applyFont="1" applyFill="1" applyBorder="1" applyAlignment="1" applyProtection="1">
      <alignment horizontal="center" vertical="top" wrapText="1"/>
    </xf>
    <xf numFmtId="0" fontId="7" fillId="17" borderId="4" xfId="0" applyFont="1" applyFill="1" applyBorder="1" applyAlignment="1" applyProtection="1">
      <alignment horizontal="center" vertical="top" wrapText="1"/>
    </xf>
    <xf numFmtId="0" fontId="7" fillId="17" borderId="5" xfId="0" applyFont="1" applyFill="1" applyBorder="1" applyAlignment="1" applyProtection="1">
      <alignment horizontal="center" vertical="top" wrapText="1"/>
    </xf>
    <xf numFmtId="0" fontId="7" fillId="18" borderId="2" xfId="0" applyFont="1" applyFill="1" applyBorder="1" applyAlignment="1" applyProtection="1">
      <alignment horizontal="center" vertical="center"/>
    </xf>
    <xf numFmtId="0" fontId="7" fillId="18" borderId="2" xfId="0" applyFont="1" applyFill="1" applyBorder="1" applyAlignment="1" applyProtection="1">
      <alignment horizontal="center" vertical="top" wrapText="1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horizontal="center" vertical="top" wrapText="1"/>
    </xf>
    <xf numFmtId="0" fontId="7" fillId="22" borderId="8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top" wrapText="1"/>
    </xf>
    <xf numFmtId="0" fontId="7" fillId="16" borderId="2" xfId="0" applyFont="1" applyFill="1" applyBorder="1" applyAlignment="1" applyProtection="1">
      <alignment horizontal="center" vertical="center"/>
    </xf>
    <xf numFmtId="0" fontId="7" fillId="16" borderId="2" xfId="0" applyFont="1" applyFill="1" applyBorder="1" applyAlignment="1" applyProtection="1">
      <alignment horizontal="center" vertical="top" wrapText="1"/>
    </xf>
    <xf numFmtId="0" fontId="7" fillId="17" borderId="8" xfId="0" applyFont="1" applyFill="1" applyBorder="1" applyAlignment="1" applyProtection="1">
      <alignment horizontal="center" vertical="top" wrapText="1"/>
    </xf>
    <xf numFmtId="0" fontId="7" fillId="16" borderId="8" xfId="0" applyFont="1" applyFill="1" applyBorder="1" applyAlignment="1" applyProtection="1">
      <alignment horizontal="center" vertical="center"/>
    </xf>
    <xf numFmtId="0" fontId="3" fillId="10" borderId="2" xfId="0" applyFont="1" applyFill="1" applyBorder="1" applyAlignment="1" applyProtection="1">
      <alignment horizontal="center" vertical="center" wrapText="1"/>
    </xf>
    <xf numFmtId="0" fontId="7" fillId="13" borderId="36" xfId="0" applyFont="1" applyFill="1" applyBorder="1" applyAlignment="1" applyProtection="1">
      <alignment horizontal="left" vertical="center" wrapText="1"/>
    </xf>
    <xf numFmtId="0" fontId="7" fillId="13" borderId="35" xfId="0" applyFont="1" applyFill="1" applyBorder="1" applyAlignment="1" applyProtection="1">
      <alignment horizontal="left" vertical="center" wrapText="1"/>
    </xf>
    <xf numFmtId="0" fontId="7" fillId="6" borderId="35" xfId="0" applyFont="1" applyFill="1" applyBorder="1" applyAlignment="1" applyProtection="1">
      <alignment horizontal="left" vertical="center" wrapText="1"/>
    </xf>
    <xf numFmtId="0" fontId="7" fillId="17" borderId="35" xfId="0" applyFont="1" applyFill="1" applyBorder="1" applyAlignment="1" applyProtection="1">
      <alignment horizontal="left" vertical="top" wrapText="1"/>
    </xf>
    <xf numFmtId="0" fontId="7" fillId="18" borderId="35" xfId="0" applyFont="1" applyFill="1" applyBorder="1" applyAlignment="1" applyProtection="1">
      <alignment horizontal="left" vertical="top" wrapText="1"/>
    </xf>
    <xf numFmtId="0" fontId="7" fillId="22" borderId="35" xfId="0" applyFont="1" applyFill="1" applyBorder="1" applyAlignment="1" applyProtection="1">
      <alignment horizontal="left" vertical="top" wrapText="1"/>
    </xf>
    <xf numFmtId="0" fontId="7" fillId="9" borderId="35" xfId="0" applyFont="1" applyFill="1" applyBorder="1" applyAlignment="1" applyProtection="1">
      <alignment horizontal="left" vertical="top" wrapText="1"/>
    </xf>
    <xf numFmtId="0" fontId="7" fillId="16" borderId="37" xfId="0" applyFont="1" applyFill="1" applyBorder="1" applyAlignment="1" applyProtection="1">
      <alignment horizontal="left" vertical="top" wrapText="1"/>
    </xf>
    <xf numFmtId="0" fontId="7" fillId="13" borderId="4" xfId="0" applyFont="1" applyFill="1" applyBorder="1" applyAlignment="1" applyProtection="1">
      <alignment horizontal="center" vertical="top" wrapText="1"/>
    </xf>
    <xf numFmtId="0" fontId="7" fillId="13" borderId="2" xfId="0" applyFont="1" applyFill="1" applyBorder="1" applyAlignment="1" applyProtection="1">
      <alignment horizontal="center" vertical="top" wrapText="1"/>
    </xf>
    <xf numFmtId="0" fontId="7" fillId="13" borderId="5" xfId="0" applyFont="1" applyFill="1" applyBorder="1" applyAlignment="1" applyProtection="1">
      <alignment horizontal="center" vertical="top" wrapText="1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top" wrapText="1"/>
    </xf>
    <xf numFmtId="0" fontId="4" fillId="21" borderId="41" xfId="0" applyFont="1" applyFill="1" applyBorder="1" applyAlignment="1" applyProtection="1">
      <alignment horizontal="right" vertical="top" wrapText="1"/>
      <protection locked="0"/>
    </xf>
    <xf numFmtId="0" fontId="4" fillId="16" borderId="7" xfId="0" applyFont="1" applyFill="1" applyBorder="1" applyProtection="1"/>
    <xf numFmtId="0" fontId="4" fillId="16" borderId="1" xfId="0" applyFont="1" applyFill="1" applyBorder="1" applyProtection="1"/>
    <xf numFmtId="0" fontId="4" fillId="13" borderId="1" xfId="0" applyFont="1" applyFill="1" applyBorder="1" applyAlignment="1" applyProtection="1">
      <alignment horizontal="left" vertical="top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13" borderId="8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justify"/>
      <protection locked="0"/>
    </xf>
    <xf numFmtId="0" fontId="4" fillId="0" borderId="0" xfId="0" applyFont="1" applyProtection="1">
      <protection locked="0"/>
    </xf>
    <xf numFmtId="0" fontId="7" fillId="12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12" borderId="1" xfId="0" applyFont="1" applyFill="1" applyBorder="1" applyAlignment="1" applyProtection="1">
      <alignment horizontal="left" vertical="center" wrapText="1"/>
      <protection locked="0"/>
    </xf>
    <xf numFmtId="0" fontId="7" fillId="12" borderId="3" xfId="0" applyFont="1" applyFill="1" applyBorder="1" applyAlignment="1" applyProtection="1">
      <alignment horizontal="left" vertical="center" wrapText="1"/>
      <protection locked="0"/>
    </xf>
    <xf numFmtId="0" fontId="7" fillId="12" borderId="2" xfId="0" applyFont="1" applyFill="1" applyBorder="1" applyAlignment="1" applyProtection="1">
      <alignment horizontal="justify" vertical="top" wrapText="1"/>
      <protection locked="0"/>
    </xf>
    <xf numFmtId="0" fontId="7" fillId="12" borderId="1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center"/>
    </xf>
    <xf numFmtId="3" fontId="4" fillId="15" borderId="4" xfId="0" applyNumberFormat="1" applyFont="1" applyFill="1" applyBorder="1" applyAlignment="1" applyProtection="1">
      <alignment horizontal="center" vertical="top" wrapText="1"/>
      <protection locked="0"/>
    </xf>
    <xf numFmtId="0" fontId="4" fillId="13" borderId="7" xfId="0" applyFont="1" applyFill="1" applyBorder="1" applyProtection="1"/>
    <xf numFmtId="0" fontId="4" fillId="13" borderId="1" xfId="0" applyFont="1" applyFill="1" applyBorder="1" applyProtection="1"/>
    <xf numFmtId="0" fontId="4" fillId="6" borderId="7" xfId="0" applyFont="1" applyFill="1" applyBorder="1" applyProtection="1"/>
    <xf numFmtId="0" fontId="4" fillId="6" borderId="1" xfId="0" applyFont="1" applyFill="1" applyBorder="1" applyProtection="1"/>
    <xf numFmtId="0" fontId="4" fillId="17" borderId="7" xfId="0" applyFont="1" applyFill="1" applyBorder="1" applyProtection="1"/>
    <xf numFmtId="0" fontId="4" fillId="17" borderId="1" xfId="0" applyFont="1" applyFill="1" applyBorder="1" applyProtection="1"/>
    <xf numFmtId="0" fontId="4" fillId="18" borderId="7" xfId="0" applyFont="1" applyFill="1" applyBorder="1" applyProtection="1"/>
    <xf numFmtId="0" fontId="4" fillId="18" borderId="1" xfId="0" applyFont="1" applyFill="1" applyBorder="1" applyProtection="1"/>
    <xf numFmtId="0" fontId="4" fillId="22" borderId="7" xfId="0" applyFont="1" applyFill="1" applyBorder="1" applyProtection="1"/>
    <xf numFmtId="0" fontId="4" fillId="22" borderId="1" xfId="0" applyFont="1" applyFill="1" applyBorder="1" applyProtection="1"/>
    <xf numFmtId="0" fontId="4" fillId="9" borderId="7" xfId="0" applyFont="1" applyFill="1" applyBorder="1" applyProtection="1"/>
    <xf numFmtId="0" fontId="4" fillId="9" borderId="1" xfId="0" applyFont="1" applyFill="1" applyBorder="1" applyProtection="1"/>
    <xf numFmtId="0" fontId="7" fillId="21" borderId="44" xfId="0" applyFont="1" applyFill="1" applyBorder="1" applyAlignment="1" applyProtection="1">
      <alignment horizontal="right" vertical="top" wrapText="1"/>
      <protection locked="0"/>
    </xf>
    <xf numFmtId="0" fontId="7" fillId="16" borderId="38" xfId="0" applyFont="1" applyFill="1" applyBorder="1" applyAlignment="1" applyProtection="1">
      <alignment horizontal="left" vertical="top" wrapText="1"/>
    </xf>
    <xf numFmtId="0" fontId="7" fillId="5" borderId="6" xfId="0" applyFont="1" applyFill="1" applyBorder="1" applyAlignment="1" applyProtection="1">
      <alignment horizontal="left" vertical="top" wrapText="1"/>
    </xf>
    <xf numFmtId="0" fontId="7" fillId="9" borderId="38" xfId="0" applyFont="1" applyFill="1" applyBorder="1" applyAlignment="1" applyProtection="1">
      <alignment horizontal="left" vertical="top" wrapText="1"/>
    </xf>
    <xf numFmtId="0" fontId="7" fillId="22" borderId="38" xfId="0" applyFont="1" applyFill="1" applyBorder="1" applyAlignment="1" applyProtection="1">
      <alignment horizontal="left" vertical="top" wrapText="1"/>
    </xf>
    <xf numFmtId="0" fontId="7" fillId="18" borderId="38" xfId="0" applyFont="1" applyFill="1" applyBorder="1" applyAlignment="1" applyProtection="1">
      <alignment horizontal="left" vertical="top" wrapText="1"/>
    </xf>
    <xf numFmtId="0" fontId="7" fillId="17" borderId="38" xfId="0" applyFont="1" applyFill="1" applyBorder="1" applyAlignment="1" applyProtection="1">
      <alignment horizontal="left" vertical="top" wrapText="1"/>
    </xf>
    <xf numFmtId="0" fontId="7" fillId="13" borderId="38" xfId="0" applyFont="1" applyFill="1" applyBorder="1" applyAlignment="1" applyProtection="1">
      <alignment horizontal="left" vertical="top" wrapText="1"/>
    </xf>
    <xf numFmtId="0" fontId="7" fillId="6" borderId="38" xfId="0" applyFont="1" applyFill="1" applyBorder="1" applyAlignment="1" applyProtection="1">
      <alignment horizontal="left" vertical="top" wrapText="1"/>
    </xf>
    <xf numFmtId="0" fontId="4" fillId="21" borderId="40" xfId="0" applyFont="1" applyFill="1" applyBorder="1" applyAlignment="1" applyProtection="1">
      <alignment horizontal="right" vertical="top" wrapText="1"/>
      <protection locked="0"/>
    </xf>
    <xf numFmtId="0" fontId="24" fillId="0" borderId="0" xfId="0" applyFont="1" applyProtection="1"/>
    <xf numFmtId="0" fontId="18" fillId="6" borderId="2" xfId="0" applyFont="1" applyFill="1" applyBorder="1" applyAlignment="1" applyProtection="1">
      <alignment horizontal="left" vertical="top" wrapText="1"/>
    </xf>
    <xf numFmtId="0" fontId="18" fillId="28" borderId="1" xfId="0" applyFont="1" applyFill="1" applyBorder="1" applyAlignment="1" applyProtection="1">
      <alignment horizontal="justify" vertical="top" wrapText="1"/>
    </xf>
    <xf numFmtId="3" fontId="4" fillId="28" borderId="4" xfId="0" applyNumberFormat="1" applyFont="1" applyFill="1" applyBorder="1" applyAlignment="1" applyProtection="1">
      <alignment horizontal="right" vertical="top" wrapText="1"/>
      <protection locked="0"/>
    </xf>
    <xf numFmtId="3" fontId="7" fillId="28" borderId="4" xfId="0" applyNumberFormat="1" applyFont="1" applyFill="1" applyBorder="1" applyAlignment="1" applyProtection="1">
      <alignment horizontal="right" vertical="top" wrapText="1"/>
      <protection locked="0"/>
    </xf>
    <xf numFmtId="3" fontId="7" fillId="28" borderId="4" xfId="0" applyNumberFormat="1" applyFont="1" applyFill="1" applyBorder="1" applyAlignment="1" applyProtection="1">
      <alignment horizontal="center" vertical="top" wrapText="1"/>
      <protection locked="0"/>
    </xf>
    <xf numFmtId="0" fontId="7" fillId="28" borderId="2" xfId="0" applyFont="1" applyFill="1" applyBorder="1" applyAlignment="1" applyProtection="1">
      <alignment horizontal="justify" vertical="top" wrapText="1"/>
    </xf>
    <xf numFmtId="0" fontId="25" fillId="0" borderId="0" xfId="0" applyFont="1" applyProtection="1"/>
    <xf numFmtId="0" fontId="7" fillId="12" borderId="46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/>
    <xf numFmtId="0" fontId="20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26" fillId="0" borderId="0" xfId="0" applyFont="1" applyBorder="1" applyProtection="1"/>
    <xf numFmtId="0" fontId="22" fillId="0" borderId="0" xfId="0" applyFont="1"/>
    <xf numFmtId="0" fontId="7" fillId="17" borderId="0" xfId="0" applyFont="1" applyFill="1"/>
    <xf numFmtId="0" fontId="7" fillId="18" borderId="0" xfId="0" applyFont="1" applyFill="1"/>
    <xf numFmtId="0" fontId="7" fillId="22" borderId="0" xfId="0" applyFont="1" applyFill="1"/>
    <xf numFmtId="0" fontId="7" fillId="9" borderId="0" xfId="0" applyFont="1" applyFill="1"/>
    <xf numFmtId="0" fontId="7" fillId="16" borderId="0" xfId="0" applyFont="1" applyFill="1"/>
    <xf numFmtId="0" fontId="7" fillId="15" borderId="0" xfId="0" applyFont="1" applyFill="1"/>
    <xf numFmtId="0" fontId="28" fillId="0" borderId="0" xfId="0" applyFont="1"/>
    <xf numFmtId="0" fontId="29" fillId="0" borderId="0" xfId="0" applyFont="1" applyProtection="1"/>
    <xf numFmtId="2" fontId="4" fillId="15" borderId="4" xfId="0" applyNumberFormat="1" applyFont="1" applyFill="1" applyBorder="1" applyAlignment="1" applyProtection="1">
      <alignment horizontal="right" vertical="top" wrapText="1"/>
      <protection locked="0"/>
    </xf>
    <xf numFmtId="2" fontId="4" fillId="28" borderId="4" xfId="0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 applyAlignment="1">
      <alignment horizontal="center" vertical="center"/>
    </xf>
    <xf numFmtId="0" fontId="28" fillId="0" borderId="0" xfId="0" applyFont="1" applyProtection="1"/>
    <xf numFmtId="0" fontId="7" fillId="9" borderId="8" xfId="0" applyFont="1" applyFill="1" applyBorder="1" applyAlignment="1" applyProtection="1">
      <alignment horizontal="center" vertical="center"/>
    </xf>
    <xf numFmtId="0" fontId="7" fillId="18" borderId="8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3" fontId="4" fillId="21" borderId="4" xfId="0" applyNumberFormat="1" applyFont="1" applyFill="1" applyBorder="1" applyAlignment="1" applyProtection="1">
      <alignment horizontal="right" vertical="top" wrapText="1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vertical="top"/>
    </xf>
    <xf numFmtId="0" fontId="7" fillId="15" borderId="10" xfId="0" applyFont="1" applyFill="1" applyBorder="1" applyAlignment="1" applyProtection="1">
      <alignment horizontal="center" vertical="center" wrapText="1"/>
      <protection locked="0"/>
    </xf>
    <xf numFmtId="3" fontId="4" fillId="20" borderId="2" xfId="0" applyNumberFormat="1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center" vertical="center" wrapText="1"/>
    </xf>
    <xf numFmtId="0" fontId="33" fillId="0" borderId="0" xfId="0" applyFont="1" applyProtection="1"/>
    <xf numFmtId="0" fontId="21" fillId="0" borderId="0" xfId="0" applyFont="1" applyFill="1" applyBorder="1" applyAlignment="1" applyProtection="1">
      <alignment vertical="top"/>
    </xf>
    <xf numFmtId="0" fontId="27" fillId="0" borderId="0" xfId="0" applyFont="1" applyProtection="1"/>
    <xf numFmtId="0" fontId="28" fillId="30" borderId="0" xfId="0" applyFont="1" applyFill="1" applyProtection="1"/>
    <xf numFmtId="0" fontId="29" fillId="30" borderId="0" xfId="0" applyFont="1" applyFill="1" applyProtection="1"/>
    <xf numFmtId="0" fontId="4" fillId="30" borderId="0" xfId="0" applyFont="1" applyFill="1" applyProtection="1"/>
    <xf numFmtId="0" fontId="22" fillId="29" borderId="56" xfId="0" applyFont="1" applyFill="1" applyBorder="1" applyAlignment="1">
      <alignment horizontal="center" vertical="center"/>
    </xf>
    <xf numFmtId="0" fontId="22" fillId="29" borderId="50" xfId="0" applyFont="1" applyFill="1" applyBorder="1" applyAlignment="1">
      <alignment horizontal="center" vertical="center"/>
    </xf>
    <xf numFmtId="0" fontId="22" fillId="29" borderId="49" xfId="0" applyFont="1" applyFill="1" applyBorder="1" applyAlignment="1">
      <alignment horizontal="center" vertical="center"/>
    </xf>
    <xf numFmtId="0" fontId="4" fillId="13" borderId="54" xfId="0" applyFont="1" applyFill="1" applyBorder="1" applyAlignment="1">
      <alignment horizontal="right" wrapText="1"/>
    </xf>
    <xf numFmtId="0" fontId="7" fillId="13" borderId="55" xfId="0" applyFont="1" applyFill="1" applyBorder="1"/>
    <xf numFmtId="0" fontId="4" fillId="13" borderId="53" xfId="0" applyFont="1" applyFill="1" applyBorder="1" applyAlignment="1">
      <alignment horizontal="right"/>
    </xf>
    <xf numFmtId="0" fontId="7" fillId="13" borderId="48" xfId="0" applyFont="1" applyFill="1" applyBorder="1"/>
    <xf numFmtId="0" fontId="4" fillId="13" borderId="52" xfId="0" applyFont="1" applyFill="1" applyBorder="1" applyAlignment="1">
      <alignment horizontal="right"/>
    </xf>
    <xf numFmtId="0" fontId="7" fillId="13" borderId="47" xfId="0" applyFont="1" applyFill="1" applyBorder="1"/>
    <xf numFmtId="0" fontId="22" fillId="31" borderId="41" xfId="0" applyFont="1" applyFill="1" applyBorder="1" applyAlignment="1">
      <alignment horizontal="center" vertical="center"/>
    </xf>
    <xf numFmtId="0" fontId="22" fillId="31" borderId="50" xfId="0" applyFont="1" applyFill="1" applyBorder="1" applyAlignment="1">
      <alignment horizontal="center" vertical="center"/>
    </xf>
    <xf numFmtId="0" fontId="22" fillId="31" borderId="41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 applyProtection="1">
      <alignment horizontal="justify" vertical="center" wrapText="1"/>
    </xf>
    <xf numFmtId="0" fontId="17" fillId="13" borderId="4" xfId="0" applyFont="1" applyFill="1" applyBorder="1" applyAlignment="1" applyProtection="1">
      <alignment horizontal="justify" vertical="top" wrapText="1"/>
    </xf>
    <xf numFmtId="0" fontId="3" fillId="10" borderId="8" xfId="0" applyFont="1" applyFill="1" applyBorder="1" applyAlignment="1" applyProtection="1">
      <alignment horizontal="center" vertical="center" wrapText="1"/>
    </xf>
    <xf numFmtId="9" fontId="4" fillId="15" borderId="4" xfId="2" applyFont="1" applyFill="1" applyBorder="1" applyAlignment="1" applyProtection="1">
      <alignment horizontal="right" vertical="top" wrapText="1"/>
      <protection locked="0"/>
    </xf>
    <xf numFmtId="9" fontId="4" fillId="28" borderId="4" xfId="2" applyFont="1" applyFill="1" applyBorder="1" applyAlignment="1" applyProtection="1">
      <alignment horizontal="right" vertical="top" wrapText="1"/>
      <protection locked="0"/>
    </xf>
    <xf numFmtId="3" fontId="4" fillId="13" borderId="41" xfId="0" applyNumberFormat="1" applyFont="1" applyFill="1" applyBorder="1" applyAlignment="1" applyProtection="1">
      <alignment horizontal="right" vertical="top" wrapText="1"/>
      <protection locked="0"/>
    </xf>
    <xf numFmtId="3" fontId="7" fillId="5" borderId="41" xfId="0" applyNumberFormat="1" applyFont="1" applyFill="1" applyBorder="1" applyAlignment="1" applyProtection="1">
      <alignment horizontal="right" vertical="top" wrapText="1"/>
      <protection locked="0"/>
    </xf>
    <xf numFmtId="3" fontId="7" fillId="5" borderId="44" xfId="0" applyNumberFormat="1" applyFont="1" applyFill="1" applyBorder="1" applyAlignment="1" applyProtection="1">
      <alignment horizontal="right" vertical="top" wrapText="1"/>
      <protection locked="0"/>
    </xf>
    <xf numFmtId="3" fontId="7" fillId="5" borderId="42" xfId="0" applyNumberFormat="1" applyFont="1" applyFill="1" applyBorder="1" applyAlignment="1" applyProtection="1">
      <alignment horizontal="right" vertical="top" wrapText="1"/>
      <protection locked="0"/>
    </xf>
    <xf numFmtId="3" fontId="7" fillId="5" borderId="45" xfId="0" applyNumberFormat="1" applyFont="1" applyFill="1" applyBorder="1" applyAlignment="1" applyProtection="1">
      <alignment horizontal="right" vertical="top" wrapText="1"/>
      <protection locked="0"/>
    </xf>
    <xf numFmtId="3" fontId="4" fillId="13" borderId="40" xfId="0" applyNumberFormat="1" applyFont="1" applyFill="1" applyBorder="1" applyAlignment="1" applyProtection="1">
      <alignment horizontal="right" vertical="top" wrapText="1"/>
      <protection locked="0"/>
    </xf>
    <xf numFmtId="3" fontId="7" fillId="5" borderId="43" xfId="0" applyNumberFormat="1" applyFont="1" applyFill="1" applyBorder="1" applyAlignment="1" applyProtection="1">
      <alignment horizontal="right" vertical="top" wrapText="1"/>
      <protection locked="0"/>
    </xf>
    <xf numFmtId="3" fontId="7" fillId="28" borderId="40" xfId="0" applyNumberFormat="1" applyFont="1" applyFill="1" applyBorder="1" applyAlignment="1" applyProtection="1">
      <alignment horizontal="right" vertical="top" wrapText="1"/>
      <protection locked="0"/>
    </xf>
    <xf numFmtId="3" fontId="7" fillId="28" borderId="41" xfId="0" applyNumberFormat="1" applyFont="1" applyFill="1" applyBorder="1" applyAlignment="1" applyProtection="1">
      <alignment horizontal="right" vertical="top" wrapText="1"/>
      <protection locked="0"/>
    </xf>
    <xf numFmtId="3" fontId="4" fillId="17" borderId="40" xfId="0" applyNumberFormat="1" applyFont="1" applyFill="1" applyBorder="1" applyAlignment="1" applyProtection="1">
      <alignment horizontal="right" vertical="top" wrapText="1"/>
      <protection locked="0"/>
    </xf>
    <xf numFmtId="3" fontId="4" fillId="17" borderId="41" xfId="0" applyNumberFormat="1" applyFont="1" applyFill="1" applyBorder="1" applyAlignment="1" applyProtection="1">
      <alignment horizontal="right" vertical="top" wrapText="1"/>
      <protection locked="0"/>
    </xf>
    <xf numFmtId="3" fontId="4" fillId="18" borderId="40" xfId="0" applyNumberFormat="1" applyFont="1" applyFill="1" applyBorder="1" applyAlignment="1" applyProtection="1">
      <alignment horizontal="right" vertical="top" wrapText="1"/>
      <protection locked="0"/>
    </xf>
    <xf numFmtId="3" fontId="4" fillId="18" borderId="41" xfId="0" applyNumberFormat="1" applyFont="1" applyFill="1" applyBorder="1" applyAlignment="1" applyProtection="1">
      <alignment horizontal="right" vertical="top" wrapText="1"/>
      <protection locked="0"/>
    </xf>
    <xf numFmtId="3" fontId="4" fillId="22" borderId="40" xfId="0" applyNumberFormat="1" applyFont="1" applyFill="1" applyBorder="1" applyAlignment="1" applyProtection="1">
      <alignment horizontal="right" vertical="top" wrapText="1"/>
      <protection locked="0"/>
    </xf>
    <xf numFmtId="3" fontId="4" fillId="22" borderId="41" xfId="0" applyNumberFormat="1" applyFont="1" applyFill="1" applyBorder="1" applyAlignment="1" applyProtection="1">
      <alignment horizontal="right" vertical="top" wrapText="1"/>
      <protection locked="0"/>
    </xf>
    <xf numFmtId="3" fontId="4" fillId="9" borderId="40" xfId="0" applyNumberFormat="1" applyFont="1" applyFill="1" applyBorder="1" applyAlignment="1" applyProtection="1">
      <alignment horizontal="right" vertical="top" wrapText="1"/>
      <protection locked="0"/>
    </xf>
    <xf numFmtId="3" fontId="4" fillId="9" borderId="41" xfId="0" applyNumberFormat="1" applyFont="1" applyFill="1" applyBorder="1" applyAlignment="1" applyProtection="1">
      <alignment horizontal="right" vertical="top" wrapText="1"/>
      <protection locked="0"/>
    </xf>
    <xf numFmtId="3" fontId="4" fillId="16" borderId="40" xfId="0" applyNumberFormat="1" applyFont="1" applyFill="1" applyBorder="1" applyAlignment="1" applyProtection="1">
      <alignment horizontal="right" vertical="top" wrapText="1"/>
      <protection locked="0"/>
    </xf>
    <xf numFmtId="3" fontId="4" fillId="16" borderId="41" xfId="0" applyNumberFormat="1" applyFont="1" applyFill="1" applyBorder="1" applyAlignment="1" applyProtection="1">
      <alignment horizontal="right" vertical="top" wrapText="1"/>
      <protection locked="0"/>
    </xf>
    <xf numFmtId="3" fontId="4" fillId="21" borderId="2" xfId="0" applyNumberFormat="1" applyFont="1" applyFill="1" applyBorder="1" applyAlignment="1" applyProtection="1">
      <alignment horizontal="center"/>
    </xf>
    <xf numFmtId="3" fontId="4" fillId="13" borderId="26" xfId="0" applyNumberFormat="1" applyFont="1" applyFill="1" applyBorder="1" applyAlignment="1" applyProtection="1">
      <alignment horizontal="center"/>
    </xf>
    <xf numFmtId="3" fontId="4" fillId="13" borderId="29" xfId="0" applyNumberFormat="1" applyFont="1" applyFill="1" applyBorder="1" applyAlignment="1" applyProtection="1">
      <alignment horizontal="center"/>
    </xf>
    <xf numFmtId="3" fontId="4" fillId="13" borderId="38" xfId="0" applyNumberFormat="1" applyFont="1" applyFill="1" applyBorder="1" applyAlignment="1" applyProtection="1">
      <alignment horizontal="center"/>
    </xf>
    <xf numFmtId="3" fontId="4" fillId="13" borderId="27" xfId="0" applyNumberFormat="1" applyFont="1" applyFill="1" applyBorder="1" applyAlignment="1" applyProtection="1">
      <alignment horizontal="center"/>
    </xf>
    <xf numFmtId="3" fontId="4" fillId="13" borderId="30" xfId="0" applyNumberFormat="1" applyFont="1" applyFill="1" applyBorder="1" applyAlignment="1" applyProtection="1">
      <alignment horizontal="center"/>
    </xf>
    <xf numFmtId="3" fontId="4" fillId="13" borderId="33" xfId="0" applyNumberFormat="1" applyFont="1" applyFill="1" applyBorder="1" applyAlignment="1" applyProtection="1">
      <alignment horizontal="center"/>
    </xf>
    <xf numFmtId="3" fontId="7" fillId="6" borderId="38" xfId="0" applyNumberFormat="1" applyFont="1" applyFill="1" applyBorder="1" applyAlignment="1" applyProtection="1">
      <alignment horizontal="center"/>
    </xf>
    <xf numFmtId="3" fontId="7" fillId="6" borderId="27" xfId="0" applyNumberFormat="1" applyFont="1" applyFill="1" applyBorder="1" applyAlignment="1" applyProtection="1">
      <alignment horizontal="center"/>
    </xf>
    <xf numFmtId="3" fontId="7" fillId="6" borderId="30" xfId="0" applyNumberFormat="1" applyFont="1" applyFill="1" applyBorder="1" applyAlignment="1" applyProtection="1">
      <alignment horizontal="center"/>
    </xf>
    <xf numFmtId="3" fontId="4" fillId="17" borderId="38" xfId="0" applyNumberFormat="1" applyFont="1" applyFill="1" applyBorder="1" applyAlignment="1" applyProtection="1">
      <alignment horizontal="center"/>
    </xf>
    <xf numFmtId="3" fontId="4" fillId="17" borderId="27" xfId="0" applyNumberFormat="1" applyFont="1" applyFill="1" applyBorder="1" applyAlignment="1" applyProtection="1">
      <alignment horizontal="center"/>
    </xf>
    <xf numFmtId="3" fontId="4" fillId="17" borderId="30" xfId="0" applyNumberFormat="1" applyFont="1" applyFill="1" applyBorder="1" applyAlignment="1" applyProtection="1">
      <alignment horizontal="center"/>
    </xf>
    <xf numFmtId="3" fontId="4" fillId="18" borderId="38" xfId="0" applyNumberFormat="1" applyFont="1" applyFill="1" applyBorder="1" applyAlignment="1" applyProtection="1">
      <alignment horizontal="center"/>
    </xf>
    <xf numFmtId="3" fontId="4" fillId="18" borderId="27" xfId="0" applyNumberFormat="1" applyFont="1" applyFill="1" applyBorder="1" applyAlignment="1" applyProtection="1">
      <alignment horizontal="center"/>
    </xf>
    <xf numFmtId="3" fontId="4" fillId="18" borderId="30" xfId="0" applyNumberFormat="1" applyFont="1" applyFill="1" applyBorder="1" applyAlignment="1" applyProtection="1">
      <alignment horizontal="center"/>
    </xf>
    <xf numFmtId="3" fontId="4" fillId="22" borderId="38" xfId="0" applyNumberFormat="1" applyFont="1" applyFill="1" applyBorder="1" applyAlignment="1" applyProtection="1">
      <alignment horizontal="center"/>
    </xf>
    <xf numFmtId="3" fontId="4" fillId="22" borderId="27" xfId="0" applyNumberFormat="1" applyFont="1" applyFill="1" applyBorder="1" applyAlignment="1" applyProtection="1">
      <alignment horizontal="center"/>
    </xf>
    <xf numFmtId="3" fontId="4" fillId="22" borderId="30" xfId="0" applyNumberFormat="1" applyFont="1" applyFill="1" applyBorder="1" applyAlignment="1" applyProtection="1">
      <alignment horizontal="center"/>
    </xf>
    <xf numFmtId="3" fontId="4" fillId="9" borderId="38" xfId="0" applyNumberFormat="1" applyFont="1" applyFill="1" applyBorder="1" applyAlignment="1" applyProtection="1">
      <alignment horizontal="center"/>
    </xf>
    <xf numFmtId="3" fontId="4" fillId="9" borderId="27" xfId="0" applyNumberFormat="1" applyFont="1" applyFill="1" applyBorder="1" applyAlignment="1" applyProtection="1">
      <alignment horizontal="center"/>
    </xf>
    <xf numFmtId="3" fontId="4" fillId="9" borderId="30" xfId="0" applyNumberFormat="1" applyFont="1" applyFill="1" applyBorder="1" applyAlignment="1" applyProtection="1">
      <alignment horizontal="center"/>
    </xf>
    <xf numFmtId="3" fontId="4" fillId="16" borderId="39" xfId="0" applyNumberFormat="1" applyFont="1" applyFill="1" applyBorder="1" applyAlignment="1" applyProtection="1">
      <alignment horizontal="center"/>
    </xf>
    <xf numFmtId="3" fontId="4" fillId="16" borderId="28" xfId="0" applyNumberFormat="1" applyFont="1" applyFill="1" applyBorder="1" applyAlignment="1" applyProtection="1">
      <alignment horizontal="center"/>
    </xf>
    <xf numFmtId="3" fontId="4" fillId="16" borderId="31" xfId="0" applyNumberFormat="1" applyFont="1" applyFill="1" applyBorder="1" applyAlignment="1" applyProtection="1">
      <alignment horizontal="center"/>
    </xf>
    <xf numFmtId="4" fontId="4" fillId="21" borderId="36" xfId="0" applyNumberFormat="1" applyFont="1" applyFill="1" applyBorder="1" applyAlignment="1" applyProtection="1">
      <alignment horizontal="center"/>
    </xf>
    <xf numFmtId="4" fontId="4" fillId="6" borderId="36" xfId="0" applyNumberFormat="1" applyFont="1" applyFill="1" applyBorder="1" applyAlignment="1" applyProtection="1">
      <alignment horizontal="center"/>
    </xf>
    <xf numFmtId="4" fontId="4" fillId="6" borderId="32" xfId="0" applyNumberFormat="1" applyFont="1" applyFill="1" applyBorder="1" applyAlignment="1" applyProtection="1">
      <alignment horizontal="center"/>
    </xf>
    <xf numFmtId="4" fontId="7" fillId="6" borderId="32" xfId="0" applyNumberFormat="1" applyFont="1" applyFill="1" applyBorder="1" applyAlignment="1" applyProtection="1">
      <alignment horizontal="center"/>
    </xf>
    <xf numFmtId="4" fontId="4" fillId="6" borderId="1" xfId="0" applyNumberFormat="1" applyFont="1" applyFill="1" applyBorder="1" applyAlignment="1" applyProtection="1">
      <alignment horizontal="center"/>
    </xf>
    <xf numFmtId="11" fontId="4" fillId="21" borderId="2" xfId="0" applyNumberFormat="1" applyFont="1" applyFill="1" applyBorder="1" applyAlignment="1" applyProtection="1">
      <alignment horizontal="center"/>
    </xf>
    <xf numFmtId="11" fontId="4" fillId="6" borderId="29" xfId="0" applyNumberFormat="1" applyFont="1" applyFill="1" applyBorder="1" applyAlignment="1" applyProtection="1">
      <alignment horizontal="center"/>
    </xf>
    <xf numFmtId="11" fontId="4" fillId="6" borderId="34" xfId="0" applyNumberFormat="1" applyFont="1" applyFill="1" applyBorder="1" applyAlignment="1" applyProtection="1">
      <alignment horizontal="center"/>
    </xf>
    <xf numFmtId="11" fontId="4" fillId="6" borderId="32" xfId="0" applyNumberFormat="1" applyFont="1" applyFill="1" applyBorder="1" applyAlignment="1" applyProtection="1">
      <alignment horizontal="center"/>
    </xf>
    <xf numFmtId="11" fontId="4" fillId="6" borderId="30" xfId="0" applyNumberFormat="1" applyFont="1" applyFill="1" applyBorder="1" applyAlignment="1" applyProtection="1">
      <alignment horizontal="center"/>
    </xf>
    <xf numFmtId="11" fontId="4" fillId="6" borderId="35" xfId="0" applyNumberFormat="1" applyFont="1" applyFill="1" applyBorder="1" applyAlignment="1" applyProtection="1">
      <alignment horizontal="center"/>
    </xf>
    <xf numFmtId="11" fontId="7" fillId="6" borderId="35" xfId="0" applyNumberFormat="1" applyFont="1" applyFill="1" applyBorder="1" applyAlignment="1" applyProtection="1">
      <alignment horizontal="center"/>
    </xf>
    <xf numFmtId="11" fontId="7" fillId="6" borderId="30" xfId="0" applyNumberFormat="1" applyFont="1" applyFill="1" applyBorder="1" applyAlignment="1" applyProtection="1">
      <alignment horizontal="center"/>
    </xf>
    <xf numFmtId="11" fontId="4" fillId="6" borderId="37" xfId="0" applyNumberFormat="1" applyFont="1" applyFill="1" applyBorder="1" applyAlignment="1" applyProtection="1">
      <alignment horizontal="center"/>
    </xf>
    <xf numFmtId="11" fontId="4" fillId="6" borderId="31" xfId="0" applyNumberFormat="1" applyFont="1" applyFill="1" applyBorder="1" applyAlignment="1" applyProtection="1">
      <alignment horizontal="center"/>
    </xf>
    <xf numFmtId="169" fontId="4" fillId="6" borderId="4" xfId="0" applyNumberFormat="1" applyFont="1" applyFill="1" applyBorder="1" applyAlignment="1" applyProtection="1">
      <alignment horizontal="center" vertical="top" wrapText="1"/>
      <protection locked="0"/>
    </xf>
    <xf numFmtId="166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66" fontId="4" fillId="5" borderId="4" xfId="0" applyNumberFormat="1" applyFont="1" applyFill="1" applyBorder="1" applyAlignment="1" applyProtection="1">
      <alignment horizontal="right" vertical="top" wrapText="1"/>
      <protection locked="0"/>
    </xf>
    <xf numFmtId="166" fontId="4" fillId="28" borderId="4" xfId="0" applyNumberFormat="1" applyFont="1" applyFill="1" applyBorder="1" applyAlignment="1" applyProtection="1">
      <alignment horizontal="right" vertical="top" wrapText="1"/>
      <protection locked="0"/>
    </xf>
    <xf numFmtId="167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67" fontId="4" fillId="5" borderId="4" xfId="0" applyNumberFormat="1" applyFont="1" applyFill="1" applyBorder="1" applyAlignment="1" applyProtection="1">
      <alignment horizontal="right" vertical="top" wrapText="1"/>
      <protection locked="0"/>
    </xf>
    <xf numFmtId="167" fontId="4" fillId="28" borderId="4" xfId="0" applyNumberFormat="1" applyFont="1" applyFill="1" applyBorder="1" applyAlignment="1" applyProtection="1">
      <alignment horizontal="right" vertical="top" wrapText="1"/>
      <protection locked="0"/>
    </xf>
    <xf numFmtId="168" fontId="4" fillId="6" borderId="2" xfId="0" applyNumberFormat="1" applyFont="1" applyFill="1" applyBorder="1" applyAlignment="1" applyProtection="1">
      <alignment horizontal="right"/>
      <protection locked="0"/>
    </xf>
    <xf numFmtId="168" fontId="4" fillId="28" borderId="4" xfId="0" applyNumberFormat="1" applyFont="1" applyFill="1" applyBorder="1" applyAlignment="1" applyProtection="1">
      <alignment horizontal="right" vertical="top" wrapText="1"/>
      <protection locked="0"/>
    </xf>
    <xf numFmtId="9" fontId="4" fillId="6" borderId="2" xfId="2" applyNumberFormat="1" applyFont="1" applyFill="1" applyBorder="1" applyAlignment="1" applyProtection="1">
      <alignment horizontal="right"/>
      <protection locked="0"/>
    </xf>
    <xf numFmtId="9" fontId="4" fillId="19" borderId="2" xfId="2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 applyProtection="1">
      <alignment horizontal="left" vertical="center" wrapText="1"/>
    </xf>
    <xf numFmtId="0" fontId="29" fillId="0" borderId="0" xfId="0" applyFont="1" applyFill="1" applyProtection="1"/>
    <xf numFmtId="170" fontId="4" fillId="6" borderId="4" xfId="0" applyNumberFormat="1" applyFont="1" applyFill="1" applyBorder="1" applyAlignment="1" applyProtection="1">
      <alignment horizontal="center" vertical="top" wrapText="1"/>
      <protection locked="0"/>
    </xf>
    <xf numFmtId="171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171" fontId="4" fillId="28" borderId="4" xfId="0" applyNumberFormat="1" applyFont="1" applyFill="1" applyBorder="1" applyAlignment="1" applyProtection="1">
      <alignment horizontal="right" vertical="top" wrapText="1"/>
      <protection locked="0"/>
    </xf>
    <xf numFmtId="169" fontId="4" fillId="6" borderId="4" xfId="0" applyNumberFormat="1" applyFont="1" applyFill="1" applyBorder="1" applyAlignment="1" applyProtection="1">
      <alignment horizontal="right" vertical="top" wrapText="1"/>
      <protection locked="0"/>
    </xf>
    <xf numFmtId="169" fontId="4" fillId="19" borderId="4" xfId="0" applyNumberFormat="1" applyFont="1" applyFill="1" applyBorder="1" applyAlignment="1" applyProtection="1">
      <alignment horizontal="right" vertical="top" wrapText="1"/>
      <protection locked="0"/>
    </xf>
    <xf numFmtId="0" fontId="15" fillId="11" borderId="0" xfId="0" applyFont="1" applyFill="1" applyAlignment="1" applyProtection="1">
      <alignment horizontal="left" vertical="center" wrapText="1"/>
    </xf>
    <xf numFmtId="0" fontId="17" fillId="13" borderId="6" xfId="0" applyFont="1" applyFill="1" applyBorder="1" applyAlignment="1" applyProtection="1">
      <alignment horizontal="justify" vertical="top" wrapText="1"/>
    </xf>
    <xf numFmtId="0" fontId="17" fillId="13" borderId="3" xfId="0" applyFont="1" applyFill="1" applyBorder="1" applyAlignment="1" applyProtection="1">
      <alignment horizontal="justify" vertical="top" wrapText="1"/>
    </xf>
    <xf numFmtId="0" fontId="7" fillId="19" borderId="6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wrapText="1"/>
    </xf>
    <xf numFmtId="3" fontId="4" fillId="15" borderId="40" xfId="0" applyNumberFormat="1" applyFont="1" applyFill="1" applyBorder="1" applyAlignment="1" applyProtection="1">
      <alignment horizontal="right" vertical="top" wrapText="1"/>
      <protection locked="0"/>
    </xf>
    <xf numFmtId="3" fontId="4" fillId="15" borderId="42" xfId="0" applyNumberFormat="1" applyFont="1" applyFill="1" applyBorder="1" applyAlignment="1" applyProtection="1">
      <alignment horizontal="right" vertical="top" wrapText="1"/>
      <protection locked="0"/>
    </xf>
    <xf numFmtId="3" fontId="4" fillId="28" borderId="40" xfId="0" applyNumberFormat="1" applyFont="1" applyFill="1" applyBorder="1" applyAlignment="1" applyProtection="1">
      <alignment horizontal="right" vertical="top" wrapText="1"/>
      <protection locked="0"/>
    </xf>
    <xf numFmtId="3" fontId="4" fillId="28" borderId="42" xfId="0" applyNumberFormat="1" applyFont="1" applyFill="1" applyBorder="1" applyAlignment="1" applyProtection="1">
      <alignment horizontal="right" vertical="top" wrapText="1"/>
      <protection locked="0"/>
    </xf>
    <xf numFmtId="3" fontId="4" fillId="15" borderId="58" xfId="0" applyNumberFormat="1" applyFont="1" applyFill="1" applyBorder="1" applyAlignment="1" applyProtection="1">
      <alignment horizontal="right" vertical="top" wrapText="1"/>
      <protection locked="0"/>
    </xf>
    <xf numFmtId="3" fontId="4" fillId="15" borderId="59" xfId="0" applyNumberFormat="1" applyFont="1" applyFill="1" applyBorder="1" applyAlignment="1" applyProtection="1">
      <alignment horizontal="right" vertical="top" wrapText="1"/>
      <protection locked="0"/>
    </xf>
    <xf numFmtId="1" fontId="4" fillId="15" borderId="40" xfId="2" applyNumberFormat="1" applyFont="1" applyFill="1" applyBorder="1" applyAlignment="1" applyProtection="1">
      <alignment horizontal="right" vertical="top" wrapText="1"/>
      <protection locked="0"/>
    </xf>
    <xf numFmtId="1" fontId="4" fillId="15" borderId="42" xfId="2" applyNumberFormat="1" applyFont="1" applyFill="1" applyBorder="1" applyAlignment="1" applyProtection="1">
      <alignment horizontal="right" vertical="top" wrapText="1"/>
      <protection locked="0"/>
    </xf>
    <xf numFmtId="1" fontId="4" fillId="15" borderId="58" xfId="2" applyNumberFormat="1" applyFont="1" applyFill="1" applyBorder="1" applyAlignment="1" applyProtection="1">
      <alignment horizontal="right" vertical="top" wrapText="1"/>
      <protection locked="0"/>
    </xf>
    <xf numFmtId="1" fontId="4" fillId="15" borderId="59" xfId="2" applyNumberFormat="1" applyFont="1" applyFill="1" applyBorder="1" applyAlignment="1" applyProtection="1">
      <alignment horizontal="right" vertical="top" wrapText="1"/>
      <protection locked="0"/>
    </xf>
    <xf numFmtId="3" fontId="4" fillId="15" borderId="60" xfId="0" applyNumberFormat="1" applyFont="1" applyFill="1" applyBorder="1" applyAlignment="1" applyProtection="1">
      <alignment horizontal="right" vertical="top" wrapText="1"/>
      <protection locked="0"/>
    </xf>
    <xf numFmtId="3" fontId="4" fillId="15" borderId="61" xfId="0" applyNumberFormat="1" applyFont="1" applyFill="1" applyBorder="1" applyAlignment="1" applyProtection="1">
      <alignment horizontal="right" vertical="top" wrapText="1"/>
      <protection locked="0"/>
    </xf>
    <xf numFmtId="0" fontId="3" fillId="10" borderId="43" xfId="0" applyFont="1" applyFill="1" applyBorder="1" applyAlignment="1" applyProtection="1">
      <alignment horizontal="center" vertical="center" wrapText="1"/>
    </xf>
    <xf numFmtId="0" fontId="3" fillId="10" borderId="45" xfId="0" applyFont="1" applyFill="1" applyBorder="1" applyAlignment="1" applyProtection="1">
      <alignment horizontal="center" vertical="center" wrapText="1"/>
    </xf>
    <xf numFmtId="1" fontId="4" fillId="15" borderId="60" xfId="2" applyNumberFormat="1" applyFont="1" applyFill="1" applyBorder="1" applyAlignment="1" applyProtection="1">
      <alignment horizontal="right" vertical="top" wrapText="1"/>
      <protection locked="0"/>
    </xf>
    <xf numFmtId="1" fontId="4" fillId="15" borderId="61" xfId="2" applyNumberFormat="1" applyFont="1" applyFill="1" applyBorder="1" applyAlignment="1" applyProtection="1">
      <alignment horizontal="right" vertical="top" wrapText="1"/>
      <protection locked="0"/>
    </xf>
    <xf numFmtId="0" fontId="7" fillId="5" borderId="43" xfId="0" applyFont="1" applyFill="1" applyBorder="1" applyAlignment="1" applyProtection="1">
      <alignment horizontal="center" vertical="center" wrapText="1"/>
    </xf>
    <xf numFmtId="0" fontId="7" fillId="5" borderId="44" xfId="0" applyFont="1" applyFill="1" applyBorder="1" applyAlignment="1" applyProtection="1">
      <alignment horizontal="center" vertical="center" wrapText="1"/>
    </xf>
    <xf numFmtId="0" fontId="7" fillId="5" borderId="45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7" fillId="6" borderId="63" xfId="0" applyFont="1" applyFill="1" applyBorder="1" applyAlignment="1" applyProtection="1">
      <alignment horizontal="center" vertical="center" wrapText="1"/>
    </xf>
    <xf numFmtId="0" fontId="7" fillId="6" borderId="64" xfId="0" applyFont="1" applyFill="1" applyBorder="1" applyAlignment="1" applyProtection="1">
      <alignment horizontal="center" vertical="center" wrapText="1"/>
    </xf>
    <xf numFmtId="0" fontId="7" fillId="6" borderId="65" xfId="0" applyFont="1" applyFill="1" applyBorder="1" applyAlignment="1" applyProtection="1">
      <alignment horizontal="center" vertical="center" wrapText="1"/>
    </xf>
    <xf numFmtId="0" fontId="7" fillId="12" borderId="43" xfId="0" applyFont="1" applyFill="1" applyBorder="1" applyAlignment="1" applyProtection="1">
      <alignment horizontal="center" vertical="center" wrapText="1"/>
    </xf>
    <xf numFmtId="0" fontId="7" fillId="12" borderId="44" xfId="0" applyFont="1" applyFill="1" applyBorder="1" applyAlignment="1" applyProtection="1">
      <alignment horizontal="center" vertical="center" wrapText="1"/>
    </xf>
    <xf numFmtId="2" fontId="4" fillId="6" borderId="62" xfId="0" applyNumberFormat="1" applyFont="1" applyFill="1" applyBorder="1" applyAlignment="1" applyProtection="1">
      <alignment horizontal="center" vertical="top" wrapText="1"/>
      <protection locked="0"/>
    </xf>
    <xf numFmtId="2" fontId="4" fillId="6" borderId="66" xfId="0" applyNumberFormat="1" applyFont="1" applyFill="1" applyBorder="1" applyAlignment="1" applyProtection="1">
      <alignment horizontal="center" vertical="top" wrapText="1"/>
      <protection locked="0"/>
    </xf>
    <xf numFmtId="2" fontId="4" fillId="6" borderId="47" xfId="0" applyNumberFormat="1" applyFont="1" applyFill="1" applyBorder="1" applyAlignment="1" applyProtection="1">
      <alignment horizontal="center" vertical="top" wrapText="1"/>
      <protection locked="0"/>
    </xf>
    <xf numFmtId="2" fontId="4" fillId="6" borderId="49" xfId="0" applyNumberFormat="1" applyFont="1" applyFill="1" applyBorder="1" applyAlignment="1" applyProtection="1">
      <alignment horizontal="center" vertical="top" wrapText="1"/>
      <protection locked="0"/>
    </xf>
    <xf numFmtId="2" fontId="4" fillId="6" borderId="61" xfId="0" applyNumberFormat="1" applyFont="1" applyFill="1" applyBorder="1" applyAlignment="1" applyProtection="1">
      <alignment horizontal="center" vertical="top" wrapText="1"/>
      <protection locked="0"/>
    </xf>
    <xf numFmtId="2" fontId="4" fillId="6" borderId="60" xfId="0" applyNumberFormat="1" applyFont="1" applyFill="1" applyBorder="1" applyAlignment="1" applyProtection="1">
      <alignment horizontal="center" vertical="top" wrapText="1"/>
      <protection locked="0"/>
    </xf>
    <xf numFmtId="3" fontId="4" fillId="12" borderId="40" xfId="0" applyNumberFormat="1" applyFont="1" applyFill="1" applyBorder="1" applyAlignment="1" applyProtection="1">
      <alignment horizontal="center" vertical="top" wrapText="1"/>
      <protection locked="0"/>
    </xf>
    <xf numFmtId="2" fontId="4" fillId="6" borderId="40" xfId="0" applyNumberFormat="1" applyFont="1" applyFill="1" applyBorder="1" applyAlignment="1" applyProtection="1">
      <alignment horizontal="center" vertical="top" wrapText="1"/>
      <protection locked="0"/>
    </xf>
    <xf numFmtId="2" fontId="4" fillId="6" borderId="42" xfId="0" applyNumberFormat="1" applyFont="1" applyFill="1" applyBorder="1" applyAlignment="1" applyProtection="1">
      <alignment horizontal="center" vertical="top" wrapText="1"/>
      <protection locked="0"/>
    </xf>
    <xf numFmtId="3" fontId="4" fillId="12" borderId="58" xfId="0" applyNumberFormat="1" applyFont="1" applyFill="1" applyBorder="1" applyAlignment="1" applyProtection="1">
      <alignment horizontal="center" vertical="top" wrapText="1"/>
      <protection locked="0"/>
    </xf>
    <xf numFmtId="2" fontId="4" fillId="6" borderId="58" xfId="0" applyNumberFormat="1" applyFont="1" applyFill="1" applyBorder="1" applyAlignment="1" applyProtection="1">
      <alignment horizontal="center" vertical="top" wrapText="1"/>
      <protection locked="0"/>
    </xf>
    <xf numFmtId="2" fontId="4" fillId="6" borderId="59" xfId="0" applyNumberFormat="1" applyFont="1" applyFill="1" applyBorder="1" applyAlignment="1" applyProtection="1">
      <alignment horizontal="center" vertical="top" wrapText="1"/>
      <protection locked="0"/>
    </xf>
    <xf numFmtId="0" fontId="4" fillId="0" borderId="57" xfId="0" applyFont="1" applyBorder="1" applyProtection="1"/>
    <xf numFmtId="0" fontId="4" fillId="0" borderId="10" xfId="0" applyFont="1" applyBorder="1" applyProtection="1"/>
    <xf numFmtId="0" fontId="4" fillId="0" borderId="0" xfId="0" applyFont="1" applyBorder="1" applyProtection="1"/>
    <xf numFmtId="0" fontId="16" fillId="0" borderId="13" xfId="0" applyFont="1" applyBorder="1" applyProtection="1"/>
    <xf numFmtId="0" fontId="4" fillId="30" borderId="0" xfId="0" applyFont="1" applyFill="1" applyBorder="1" applyAlignment="1" applyProtection="1">
      <alignment vertical="top" wrapText="1"/>
    </xf>
    <xf numFmtId="0" fontId="4" fillId="30" borderId="12" xfId="0" applyFont="1" applyFill="1" applyBorder="1" applyAlignment="1" applyProtection="1">
      <alignment vertical="top" wrapText="1"/>
    </xf>
    <xf numFmtId="0" fontId="4" fillId="30" borderId="14" xfId="0" applyFont="1" applyFill="1" applyBorder="1" applyAlignment="1" applyProtection="1">
      <alignment vertical="top" wrapText="1"/>
    </xf>
    <xf numFmtId="0" fontId="4" fillId="30" borderId="3" xfId="0" applyFont="1" applyFill="1" applyBorder="1" applyAlignment="1" applyProtection="1">
      <alignment vertical="top" wrapText="1"/>
    </xf>
    <xf numFmtId="0" fontId="4" fillId="30" borderId="5" xfId="0" applyFont="1" applyFill="1" applyBorder="1" applyAlignment="1" applyProtection="1">
      <alignment vertical="top" wrapText="1"/>
    </xf>
    <xf numFmtId="0" fontId="4" fillId="30" borderId="4" xfId="0" applyFont="1" applyFill="1" applyBorder="1" applyAlignment="1" applyProtection="1">
      <alignment vertical="top" wrapText="1"/>
    </xf>
    <xf numFmtId="3" fontId="4" fillId="28" borderId="38" xfId="0" applyNumberFormat="1" applyFont="1" applyFill="1" applyBorder="1" applyAlignment="1" applyProtection="1">
      <alignment horizontal="right" vertical="top" wrapText="1"/>
      <protection locked="0"/>
    </xf>
    <xf numFmtId="3" fontId="4" fillId="28" borderId="46" xfId="0" applyNumberFormat="1" applyFont="1" applyFill="1" applyBorder="1" applyAlignment="1" applyProtection="1">
      <alignment horizontal="right" vertical="top" wrapText="1"/>
      <protection locked="0"/>
    </xf>
    <xf numFmtId="2" fontId="4" fillId="6" borderId="67" xfId="0" applyNumberFormat="1" applyFont="1" applyFill="1" applyBorder="1" applyAlignment="1" applyProtection="1">
      <alignment horizontal="center" vertical="top" wrapText="1"/>
      <protection locked="0"/>
    </xf>
    <xf numFmtId="2" fontId="4" fillId="6" borderId="46" xfId="0" applyNumberFormat="1" applyFont="1" applyFill="1" applyBorder="1" applyAlignment="1" applyProtection="1">
      <alignment horizontal="center" vertical="top" wrapText="1"/>
      <protection locked="0"/>
    </xf>
    <xf numFmtId="2" fontId="4" fillId="6" borderId="39" xfId="0" applyNumberFormat="1" applyFont="1" applyFill="1" applyBorder="1" applyAlignment="1" applyProtection="1">
      <alignment horizontal="center" vertical="top" wrapText="1"/>
      <protection locked="0"/>
    </xf>
    <xf numFmtId="2" fontId="4" fillId="6" borderId="68" xfId="0" applyNumberFormat="1" applyFont="1" applyFill="1" applyBorder="1" applyAlignment="1" applyProtection="1">
      <alignment horizontal="center" vertical="top" wrapText="1"/>
      <protection locked="0"/>
    </xf>
    <xf numFmtId="2" fontId="4" fillId="28" borderId="40" xfId="0" applyNumberFormat="1" applyFont="1" applyFill="1" applyBorder="1" applyAlignment="1" applyProtection="1">
      <alignment horizontal="center" vertical="top" wrapText="1"/>
      <protection locked="0"/>
    </xf>
    <xf numFmtId="2" fontId="4" fillId="28" borderId="27" xfId="0" applyNumberFormat="1" applyFont="1" applyFill="1" applyBorder="1" applyAlignment="1" applyProtection="1">
      <alignment horizontal="center" vertical="top" wrapText="1"/>
      <protection locked="0"/>
    </xf>
    <xf numFmtId="2" fontId="4" fillId="28" borderId="42" xfId="0" applyNumberFormat="1" applyFont="1" applyFill="1" applyBorder="1" applyAlignment="1" applyProtection="1">
      <alignment horizontal="center" vertical="top" wrapText="1"/>
      <protection locked="0"/>
    </xf>
    <xf numFmtId="2" fontId="4" fillId="28" borderId="38" xfId="0" applyNumberFormat="1" applyFont="1" applyFill="1" applyBorder="1" applyAlignment="1" applyProtection="1">
      <alignment horizontal="center" vertical="top" wrapText="1"/>
      <protection locked="0"/>
    </xf>
    <xf numFmtId="2" fontId="4" fillId="28" borderId="41" xfId="0" applyNumberFormat="1" applyFont="1" applyFill="1" applyBorder="1" applyAlignment="1" applyProtection="1">
      <alignment horizontal="center" vertical="top" wrapText="1"/>
      <protection locked="0"/>
    </xf>
    <xf numFmtId="2" fontId="4" fillId="28" borderId="46" xfId="0" applyNumberFormat="1" applyFont="1" applyFill="1" applyBorder="1" applyAlignment="1" applyProtection="1">
      <alignment horizontal="center" vertical="top" wrapText="1"/>
      <protection locked="0"/>
    </xf>
    <xf numFmtId="2" fontId="4" fillId="28" borderId="51" xfId="0" applyNumberFormat="1" applyFont="1" applyFill="1" applyBorder="1" applyAlignment="1" applyProtection="1">
      <alignment horizontal="center" vertical="top" wrapText="1"/>
      <protection locked="0"/>
    </xf>
    <xf numFmtId="3" fontId="4" fillId="28" borderId="40" xfId="0" applyNumberFormat="1" applyFont="1" applyFill="1" applyBorder="1" applyAlignment="1" applyProtection="1">
      <alignment horizontal="center" vertical="top" wrapText="1"/>
      <protection locked="0"/>
    </xf>
    <xf numFmtId="3" fontId="4" fillId="12" borderId="26" xfId="0" applyNumberFormat="1" applyFont="1" applyFill="1" applyBorder="1" applyAlignment="1" applyProtection="1">
      <alignment horizontal="center" vertical="top" wrapText="1"/>
      <protection locked="0"/>
    </xf>
    <xf numFmtId="3" fontId="4" fillId="12" borderId="46" xfId="0" applyNumberFormat="1" applyFont="1" applyFill="1" applyBorder="1" applyAlignment="1" applyProtection="1">
      <alignment horizontal="center" vertical="top" wrapText="1"/>
      <protection locked="0"/>
    </xf>
    <xf numFmtId="3" fontId="4" fillId="28" borderId="46" xfId="0" applyNumberFormat="1" applyFont="1" applyFill="1" applyBorder="1" applyAlignment="1" applyProtection="1">
      <alignment horizontal="center" vertical="top" wrapText="1"/>
      <protection locked="0"/>
    </xf>
    <xf numFmtId="3" fontId="4" fillId="12" borderId="69" xfId="0" applyNumberFormat="1" applyFont="1" applyFill="1" applyBorder="1" applyAlignment="1" applyProtection="1">
      <alignment horizontal="center" vertical="top" wrapText="1"/>
      <protection locked="0"/>
    </xf>
    <xf numFmtId="3" fontId="4" fillId="12" borderId="62" xfId="0" applyNumberFormat="1" applyFont="1" applyFill="1" applyBorder="1" applyAlignment="1" applyProtection="1">
      <alignment horizontal="center" vertical="top" wrapText="1"/>
      <protection locked="0"/>
    </xf>
    <xf numFmtId="0" fontId="42" fillId="32" borderId="0" xfId="0" applyFont="1" applyFill="1" applyAlignment="1" applyProtection="1">
      <alignment vertical="center"/>
    </xf>
    <xf numFmtId="0" fontId="43" fillId="32" borderId="0" xfId="0" applyFont="1" applyFill="1" applyAlignment="1" applyProtection="1">
      <alignment vertical="center"/>
    </xf>
    <xf numFmtId="0" fontId="14" fillId="32" borderId="0" xfId="0" applyFont="1" applyFill="1" applyAlignment="1" applyProtection="1">
      <alignment vertical="center"/>
    </xf>
    <xf numFmtId="165" fontId="14" fillId="32" borderId="0" xfId="0" applyNumberFormat="1" applyFont="1" applyFill="1" applyBorder="1" applyAlignment="1" applyProtection="1">
      <alignment horizontal="right" vertical="center" wrapText="1"/>
      <protection locked="0"/>
    </xf>
    <xf numFmtId="165" fontId="4" fillId="32" borderId="0" xfId="0" applyNumberFormat="1" applyFont="1" applyFill="1" applyBorder="1" applyAlignment="1" applyProtection="1">
      <alignment horizontal="right" wrapText="1"/>
      <protection locked="0"/>
    </xf>
    <xf numFmtId="0" fontId="44" fillId="0" borderId="0" xfId="0" applyFont="1" applyProtection="1"/>
    <xf numFmtId="0" fontId="38" fillId="0" borderId="0" xfId="0" applyFont="1" applyBorder="1" applyAlignment="1" applyProtection="1"/>
    <xf numFmtId="0" fontId="4" fillId="13" borderId="2" xfId="0" applyFont="1" applyFill="1" applyBorder="1" applyAlignment="1" applyProtection="1">
      <alignment horizontal="justify" vertical="top" wrapText="1"/>
    </xf>
    <xf numFmtId="0" fontId="4" fillId="13" borderId="1" xfId="0" applyFont="1" applyFill="1" applyBorder="1" applyAlignment="1" applyProtection="1">
      <alignment horizontal="justify" vertical="top" wrapText="1"/>
    </xf>
    <xf numFmtId="0" fontId="4" fillId="28" borderId="7" xfId="0" applyFont="1" applyFill="1" applyBorder="1" applyAlignment="1" applyProtection="1">
      <alignment horizontal="justify" vertical="top" wrapText="1"/>
    </xf>
    <xf numFmtId="0" fontId="4" fillId="9" borderId="6" xfId="0" applyFont="1" applyFill="1" applyBorder="1" applyAlignment="1" applyProtection="1"/>
    <xf numFmtId="0" fontId="4" fillId="9" borderId="8" xfId="0" applyFont="1" applyFill="1" applyBorder="1" applyAlignment="1" applyProtection="1"/>
    <xf numFmtId="0" fontId="4" fillId="16" borderId="6" xfId="0" applyFont="1" applyFill="1" applyBorder="1" applyAlignment="1" applyProtection="1"/>
    <xf numFmtId="0" fontId="4" fillId="16" borderId="8" xfId="0" applyFont="1" applyFill="1" applyBorder="1" applyAlignment="1" applyProtection="1"/>
    <xf numFmtId="3" fontId="4" fillId="6" borderId="4" xfId="0" applyNumberFormat="1" applyFont="1" applyFill="1" applyBorder="1" applyAlignment="1" applyProtection="1">
      <alignment horizontal="right" vertical="top" wrapText="1"/>
      <protection locked="0"/>
    </xf>
    <xf numFmtId="171" fontId="4" fillId="15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15" borderId="6" xfId="0" applyFont="1" applyFill="1" applyBorder="1" applyAlignment="1" applyProtection="1">
      <alignment horizontal="center" vertical="top" wrapText="1"/>
      <protection locked="0"/>
    </xf>
    <xf numFmtId="0" fontId="4" fillId="15" borderId="9" xfId="0" applyFont="1" applyFill="1" applyBorder="1" applyAlignment="1" applyProtection="1">
      <alignment horizontal="center" vertical="top" wrapText="1"/>
      <protection locked="0"/>
    </xf>
    <xf numFmtId="0" fontId="4" fillId="15" borderId="8" xfId="0" applyFont="1" applyFill="1" applyBorder="1" applyAlignment="1" applyProtection="1">
      <alignment horizontal="center" vertical="top" wrapText="1"/>
      <protection locked="0"/>
    </xf>
    <xf numFmtId="0" fontId="4" fillId="15" borderId="3" xfId="0" applyFont="1" applyFill="1" applyBorder="1" applyAlignment="1" applyProtection="1">
      <alignment horizontal="center" vertical="top" wrapText="1"/>
      <protection locked="0"/>
    </xf>
    <xf numFmtId="0" fontId="4" fillId="15" borderId="5" xfId="0" applyFont="1" applyFill="1" applyBorder="1" applyAlignment="1" applyProtection="1">
      <alignment horizontal="center" vertical="top" wrapText="1"/>
      <protection locked="0"/>
    </xf>
    <xf numFmtId="0" fontId="4" fillId="15" borderId="4" xfId="0" applyFont="1" applyFill="1" applyBorder="1" applyAlignment="1" applyProtection="1">
      <alignment horizontal="center" vertical="top" wrapText="1"/>
      <protection locked="0"/>
    </xf>
    <xf numFmtId="0" fontId="22" fillId="8" borderId="18" xfId="0" applyFont="1" applyFill="1" applyBorder="1" applyAlignment="1">
      <alignment horizontal="left" vertical="center" wrapText="1" shrinkToFit="1"/>
    </xf>
    <xf numFmtId="0" fontId="22" fillId="8" borderId="24" xfId="0" applyFont="1" applyFill="1" applyBorder="1" applyAlignment="1">
      <alignment horizontal="left" vertical="center" wrapText="1" shrinkToFit="1"/>
    </xf>
    <xf numFmtId="0" fontId="22" fillId="8" borderId="19" xfId="0" applyFont="1" applyFill="1" applyBorder="1" applyAlignment="1">
      <alignment horizontal="left" vertical="center" wrapText="1" shrinkToFit="1"/>
    </xf>
    <xf numFmtId="0" fontId="22" fillId="8" borderId="20" xfId="0" applyFont="1" applyFill="1" applyBorder="1" applyAlignment="1">
      <alignment horizontal="left" vertical="center" wrapText="1" shrinkToFit="1"/>
    </xf>
    <xf numFmtId="0" fontId="22" fillId="8" borderId="25" xfId="0" applyFont="1" applyFill="1" applyBorder="1" applyAlignment="1">
      <alignment horizontal="left" vertical="center" wrapText="1" shrinkToFit="1"/>
    </xf>
    <xf numFmtId="0" fontId="22" fillId="8" borderId="21" xfId="0" applyFont="1" applyFill="1" applyBorder="1" applyAlignment="1">
      <alignment horizontal="left" vertical="center" wrapText="1" shrinkToFit="1"/>
    </xf>
    <xf numFmtId="0" fontId="15" fillId="11" borderId="0" xfId="0" applyFont="1" applyFill="1" applyAlignment="1">
      <alignment horizontal="center" vertical="center" wrapText="1"/>
    </xf>
    <xf numFmtId="0" fontId="4" fillId="15" borderId="6" xfId="0" applyFont="1" applyFill="1" applyBorder="1" applyAlignment="1" applyProtection="1">
      <alignment horizontal="left" vertical="center" wrapText="1"/>
      <protection locked="0"/>
    </xf>
    <xf numFmtId="0" fontId="4" fillId="15" borderId="9" xfId="0" applyFont="1" applyFill="1" applyBorder="1" applyAlignment="1" applyProtection="1">
      <alignment horizontal="left" vertical="center"/>
      <protection locked="0"/>
    </xf>
    <xf numFmtId="0" fontId="4" fillId="15" borderId="8" xfId="0" applyFont="1" applyFill="1" applyBorder="1" applyAlignment="1" applyProtection="1">
      <alignment horizontal="left" vertical="center"/>
      <protection locked="0"/>
    </xf>
    <xf numFmtId="0" fontId="23" fillId="15" borderId="6" xfId="1" applyFont="1" applyFill="1" applyBorder="1" applyAlignment="1" applyProtection="1">
      <alignment horizontal="center" vertical="center"/>
      <protection locked="0"/>
    </xf>
    <xf numFmtId="0" fontId="4" fillId="15" borderId="9" xfId="0" applyFont="1" applyFill="1" applyBorder="1" applyAlignment="1" applyProtection="1">
      <alignment vertical="center"/>
      <protection locked="0"/>
    </xf>
    <xf numFmtId="0" fontId="4" fillId="15" borderId="8" xfId="0" applyFont="1" applyFill="1" applyBorder="1" applyAlignment="1" applyProtection="1">
      <alignment vertical="center"/>
      <protection locked="0"/>
    </xf>
    <xf numFmtId="0" fontId="4" fillId="15" borderId="6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3" fillId="10" borderId="6" xfId="0" applyFont="1" applyFill="1" applyBorder="1" applyAlignment="1" applyProtection="1">
      <alignment horizontal="center"/>
    </xf>
    <xf numFmtId="0" fontId="3" fillId="10" borderId="9" xfId="0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center"/>
    </xf>
    <xf numFmtId="0" fontId="4" fillId="17" borderId="6" xfId="0" applyFont="1" applyFill="1" applyBorder="1" applyAlignment="1" applyProtection="1">
      <alignment horizontal="left" vertical="center" wrapText="1"/>
    </xf>
    <xf numFmtId="0" fontId="4" fillId="17" borderId="8" xfId="0" applyFont="1" applyFill="1" applyBorder="1" applyAlignment="1" applyProtection="1">
      <alignment horizontal="left" vertical="center" wrapText="1"/>
    </xf>
    <xf numFmtId="0" fontId="4" fillId="18" borderId="6" xfId="0" applyFont="1" applyFill="1" applyBorder="1" applyAlignment="1" applyProtection="1">
      <alignment horizontal="left"/>
    </xf>
    <xf numFmtId="0" fontId="4" fillId="18" borderId="8" xfId="0" applyFont="1" applyFill="1" applyBorder="1" applyAlignment="1" applyProtection="1">
      <alignment horizontal="left"/>
    </xf>
    <xf numFmtId="0" fontId="4" fillId="16" borderId="6" xfId="0" applyFont="1" applyFill="1" applyBorder="1" applyAlignment="1" applyProtection="1">
      <alignment horizontal="left"/>
    </xf>
    <xf numFmtId="0" fontId="4" fillId="16" borderId="8" xfId="0" applyFont="1" applyFill="1" applyBorder="1" applyAlignment="1" applyProtection="1">
      <alignment horizontal="left"/>
    </xf>
    <xf numFmtId="0" fontId="4" fillId="9" borderId="6" xfId="0" applyFont="1" applyFill="1" applyBorder="1" applyAlignment="1" applyProtection="1">
      <alignment horizontal="left"/>
    </xf>
    <xf numFmtId="0" fontId="4" fillId="9" borderId="8" xfId="0" applyFont="1" applyFill="1" applyBorder="1" applyAlignment="1" applyProtection="1">
      <alignment horizontal="left"/>
    </xf>
    <xf numFmtId="0" fontId="4" fillId="13" borderId="6" xfId="0" applyFont="1" applyFill="1" applyBorder="1" applyAlignment="1" applyProtection="1">
      <alignment horizontal="left"/>
    </xf>
    <xf numFmtId="0" fontId="4" fillId="13" borderId="8" xfId="0" applyFont="1" applyFill="1" applyBorder="1" applyAlignment="1" applyProtection="1">
      <alignment horizontal="left"/>
    </xf>
    <xf numFmtId="0" fontId="40" fillId="0" borderId="0" xfId="0" applyFont="1" applyAlignment="1" applyProtection="1">
      <alignment horizontal="left" wrapText="1"/>
    </xf>
    <xf numFmtId="0" fontId="15" fillId="11" borderId="0" xfId="0" applyFont="1" applyFill="1" applyAlignment="1" applyProtection="1">
      <alignment horizontal="left" vertical="center"/>
    </xf>
    <xf numFmtId="0" fontId="4" fillId="13" borderId="11" xfId="0" applyFont="1" applyFill="1" applyBorder="1" applyAlignment="1" applyProtection="1">
      <alignment horizontal="left" vertical="center" wrapText="1"/>
    </xf>
    <xf numFmtId="0" fontId="4" fillId="13" borderId="7" xfId="0" applyFont="1" applyFill="1" applyBorder="1" applyAlignment="1" applyProtection="1">
      <alignment horizontal="left" vertical="center" wrapText="1"/>
    </xf>
    <xf numFmtId="0" fontId="4" fillId="13" borderId="1" xfId="0" applyFont="1" applyFill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wrapText="1"/>
    </xf>
    <xf numFmtId="0" fontId="38" fillId="12" borderId="0" xfId="0" applyFont="1" applyFill="1" applyAlignment="1" applyProtection="1">
      <alignment horizontal="center" wrapText="1"/>
    </xf>
    <xf numFmtId="0" fontId="25" fillId="8" borderId="6" xfId="0" applyFont="1" applyFill="1" applyBorder="1" applyAlignment="1" applyProtection="1">
      <alignment horizontal="center" vertical="center" wrapText="1"/>
    </xf>
    <xf numFmtId="0" fontId="25" fillId="8" borderId="9" xfId="0" applyFont="1" applyFill="1" applyBorder="1" applyAlignment="1" applyProtection="1">
      <alignment horizontal="center" vertical="center" wrapText="1"/>
    </xf>
    <xf numFmtId="0" fontId="25" fillId="8" borderId="8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left" wrapText="1"/>
    </xf>
    <xf numFmtId="0" fontId="4" fillId="4" borderId="8" xfId="0" applyFont="1" applyFill="1" applyBorder="1" applyAlignment="1" applyProtection="1">
      <alignment horizontal="left" wrapText="1"/>
    </xf>
    <xf numFmtId="0" fontId="39" fillId="0" borderId="0" xfId="0" applyFont="1" applyFill="1" applyAlignment="1" applyProtection="1">
      <alignment horizontal="center" vertical="center"/>
    </xf>
    <xf numFmtId="0" fontId="34" fillId="11" borderId="0" xfId="0" applyFont="1" applyFill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wrapText="1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9" xfId="0" applyFont="1" applyFill="1" applyBorder="1" applyAlignment="1" applyProtection="1">
      <alignment horizontal="center" vertical="center"/>
    </xf>
    <xf numFmtId="0" fontId="7" fillId="9" borderId="8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20" borderId="6" xfId="0" applyFont="1" applyFill="1" applyBorder="1" applyAlignment="1" applyProtection="1">
      <alignment horizontal="center" vertical="top" wrapText="1"/>
    </xf>
    <xf numFmtId="0" fontId="7" fillId="20" borderId="9" xfId="0" applyFont="1" applyFill="1" applyBorder="1" applyAlignment="1" applyProtection="1">
      <alignment horizontal="center" vertical="top" wrapText="1"/>
    </xf>
    <xf numFmtId="0" fontId="7" fillId="20" borderId="8" xfId="0" applyFont="1" applyFill="1" applyBorder="1" applyAlignment="1" applyProtection="1">
      <alignment horizontal="center" vertical="top" wrapText="1"/>
    </xf>
    <xf numFmtId="0" fontId="7" fillId="20" borderId="13" xfId="0" applyFont="1" applyFill="1" applyBorder="1" applyAlignment="1" applyProtection="1">
      <alignment horizontal="center" vertical="top" wrapText="1"/>
    </xf>
    <xf numFmtId="0" fontId="7" fillId="7" borderId="6" xfId="0" applyFont="1" applyFill="1" applyBorder="1" applyAlignment="1" applyProtection="1">
      <alignment horizontal="center" vertical="top" wrapText="1"/>
    </xf>
    <xf numFmtId="0" fontId="7" fillId="7" borderId="9" xfId="0" applyFont="1" applyFill="1" applyBorder="1" applyAlignment="1" applyProtection="1">
      <alignment horizontal="center" vertical="top" wrapText="1"/>
    </xf>
    <xf numFmtId="0" fontId="7" fillId="7" borderId="8" xfId="0" applyFont="1" applyFill="1" applyBorder="1" applyAlignment="1" applyProtection="1">
      <alignment horizontal="center" vertical="top" wrapText="1"/>
    </xf>
    <xf numFmtId="0" fontId="7" fillId="7" borderId="13" xfId="0" applyFont="1" applyFill="1" applyBorder="1" applyAlignment="1" applyProtection="1">
      <alignment horizontal="center" vertical="top" wrapText="1"/>
    </xf>
    <xf numFmtId="0" fontId="7" fillId="13" borderId="6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6" borderId="6" xfId="0" applyFont="1" applyFill="1" applyBorder="1" applyAlignment="1" applyProtection="1">
      <alignment horizontal="center" vertical="top"/>
    </xf>
    <xf numFmtId="0" fontId="7" fillId="16" borderId="8" xfId="0" applyFont="1" applyFill="1" applyBorder="1" applyAlignment="1" applyProtection="1">
      <alignment horizontal="center" vertical="top"/>
    </xf>
    <xf numFmtId="0" fontId="7" fillId="9" borderId="6" xfId="0" applyFont="1" applyFill="1" applyBorder="1" applyAlignment="1" applyProtection="1">
      <alignment horizontal="center" vertical="top"/>
    </xf>
    <xf numFmtId="0" fontId="7" fillId="9" borderId="8" xfId="0" applyFont="1" applyFill="1" applyBorder="1" applyAlignment="1" applyProtection="1">
      <alignment horizontal="center" vertical="top"/>
    </xf>
    <xf numFmtId="0" fontId="7" fillId="22" borderId="6" xfId="0" applyFont="1" applyFill="1" applyBorder="1" applyAlignment="1" applyProtection="1">
      <alignment horizontal="center" vertical="top"/>
    </xf>
    <xf numFmtId="0" fontId="7" fillId="22" borderId="8" xfId="0" applyFont="1" applyFill="1" applyBorder="1" applyAlignment="1" applyProtection="1">
      <alignment horizontal="center" vertical="top"/>
    </xf>
    <xf numFmtId="0" fontId="7" fillId="18" borderId="6" xfId="0" applyFont="1" applyFill="1" applyBorder="1" applyAlignment="1" applyProtection="1">
      <alignment horizontal="center" vertical="center"/>
    </xf>
    <xf numFmtId="0" fontId="7" fillId="18" borderId="8" xfId="0" applyFont="1" applyFill="1" applyBorder="1" applyAlignment="1" applyProtection="1">
      <alignment horizontal="center" vertical="center"/>
    </xf>
    <xf numFmtId="0" fontId="7" fillId="17" borderId="6" xfId="0" applyFont="1" applyFill="1" applyBorder="1" applyAlignment="1" applyProtection="1">
      <alignment horizontal="center" vertical="center"/>
    </xf>
    <xf numFmtId="0" fontId="7" fillId="17" borderId="8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</xf>
    <xf numFmtId="0" fontId="7" fillId="26" borderId="6" xfId="0" applyFont="1" applyFill="1" applyBorder="1" applyAlignment="1" applyProtection="1">
      <alignment horizontal="center" vertical="top" wrapText="1"/>
    </xf>
    <xf numFmtId="0" fontId="7" fillId="26" borderId="9" xfId="0" applyFont="1" applyFill="1" applyBorder="1" applyAlignment="1" applyProtection="1">
      <alignment horizontal="center" vertical="top" wrapText="1"/>
    </xf>
    <xf numFmtId="0" fontId="7" fillId="26" borderId="8" xfId="0" applyFont="1" applyFill="1" applyBorder="1" applyAlignment="1" applyProtection="1">
      <alignment horizontal="center" vertical="top" wrapText="1"/>
    </xf>
    <xf numFmtId="0" fontId="7" fillId="26" borderId="13" xfId="0" applyFont="1" applyFill="1" applyBorder="1" applyAlignment="1" applyProtection="1">
      <alignment horizontal="center" vertical="top" wrapText="1"/>
    </xf>
    <xf numFmtId="0" fontId="7" fillId="27" borderId="6" xfId="0" applyFont="1" applyFill="1" applyBorder="1" applyAlignment="1" applyProtection="1">
      <alignment horizontal="center" vertical="top" wrapText="1"/>
    </xf>
    <xf numFmtId="0" fontId="7" fillId="27" borderId="9" xfId="0" applyFont="1" applyFill="1" applyBorder="1" applyAlignment="1" applyProtection="1">
      <alignment horizontal="center" vertical="top" wrapText="1"/>
    </xf>
    <xf numFmtId="0" fontId="7" fillId="27" borderId="8" xfId="0" applyFont="1" applyFill="1" applyBorder="1" applyAlignment="1" applyProtection="1">
      <alignment horizontal="center" vertical="top" wrapText="1"/>
    </xf>
    <xf numFmtId="0" fontId="7" fillId="27" borderId="13" xfId="0" applyFont="1" applyFill="1" applyBorder="1" applyAlignment="1" applyProtection="1">
      <alignment horizontal="center" vertical="top" wrapText="1"/>
    </xf>
    <xf numFmtId="0" fontId="7" fillId="23" borderId="6" xfId="0" applyFont="1" applyFill="1" applyBorder="1" applyAlignment="1" applyProtection="1">
      <alignment horizontal="center" vertical="top" wrapText="1"/>
    </xf>
    <xf numFmtId="0" fontId="7" fillId="23" borderId="9" xfId="0" applyFont="1" applyFill="1" applyBorder="1" applyAlignment="1" applyProtection="1">
      <alignment horizontal="center" vertical="top" wrapText="1"/>
    </xf>
    <xf numFmtId="0" fontId="7" fillId="23" borderId="8" xfId="0" applyFont="1" applyFill="1" applyBorder="1" applyAlignment="1" applyProtection="1">
      <alignment horizontal="center" vertical="top" wrapText="1"/>
    </xf>
    <xf numFmtId="0" fontId="7" fillId="23" borderId="13" xfId="0" applyFont="1" applyFill="1" applyBorder="1" applyAlignment="1" applyProtection="1">
      <alignment horizontal="center" vertical="top" wrapText="1"/>
    </xf>
    <xf numFmtId="0" fontId="7" fillId="25" borderId="6" xfId="0" applyFont="1" applyFill="1" applyBorder="1" applyAlignment="1" applyProtection="1">
      <alignment horizontal="center" vertical="top" wrapText="1"/>
    </xf>
    <xf numFmtId="0" fontId="7" fillId="25" borderId="9" xfId="0" applyFont="1" applyFill="1" applyBorder="1" applyAlignment="1" applyProtection="1">
      <alignment horizontal="center" vertical="top" wrapText="1"/>
    </xf>
    <xf numFmtId="0" fontId="7" fillId="25" borderId="8" xfId="0" applyFont="1" applyFill="1" applyBorder="1" applyAlignment="1" applyProtection="1">
      <alignment horizontal="center" vertical="top" wrapText="1"/>
    </xf>
    <xf numFmtId="0" fontId="7" fillId="25" borderId="13" xfId="0" applyFont="1" applyFill="1" applyBorder="1" applyAlignment="1" applyProtection="1">
      <alignment horizontal="center" vertical="top" wrapText="1"/>
    </xf>
    <xf numFmtId="0" fontId="7" fillId="24" borderId="6" xfId="0" applyFont="1" applyFill="1" applyBorder="1" applyAlignment="1" applyProtection="1">
      <alignment horizontal="center" vertical="top" wrapText="1"/>
    </xf>
    <xf numFmtId="0" fontId="7" fillId="24" borderId="9" xfId="0" applyFont="1" applyFill="1" applyBorder="1" applyAlignment="1" applyProtection="1">
      <alignment horizontal="center" vertical="top" wrapText="1"/>
    </xf>
    <xf numFmtId="0" fontId="7" fillId="24" borderId="8" xfId="0" applyFont="1" applyFill="1" applyBorder="1" applyAlignment="1" applyProtection="1">
      <alignment horizontal="center" vertical="top" wrapText="1"/>
    </xf>
    <xf numFmtId="0" fontId="7" fillId="24" borderId="13" xfId="0" applyFont="1" applyFill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 vertical="center" wrapText="1"/>
    </xf>
    <xf numFmtId="0" fontId="38" fillId="0" borderId="0" xfId="0" applyFont="1" applyAlignment="1" applyProtection="1">
      <alignment horizontal="left" vertical="center" wrapText="1" shrinkToFit="1"/>
    </xf>
    <xf numFmtId="0" fontId="38" fillId="8" borderId="70" xfId="0" applyFont="1" applyFill="1" applyBorder="1" applyAlignment="1" applyProtection="1">
      <alignment horizontal="center" vertical="center" wrapText="1"/>
    </xf>
    <xf numFmtId="0" fontId="38" fillId="8" borderId="71" xfId="0" applyFont="1" applyFill="1" applyBorder="1" applyAlignment="1" applyProtection="1">
      <alignment horizontal="center" vertical="center" wrapText="1"/>
    </xf>
    <xf numFmtId="0" fontId="38" fillId="8" borderId="72" xfId="0" applyFont="1" applyFill="1" applyBorder="1" applyAlignment="1" applyProtection="1">
      <alignment horizontal="center" vertical="center" wrapText="1"/>
    </xf>
    <xf numFmtId="0" fontId="15" fillId="11" borderId="0" xfId="0" applyFont="1" applyFill="1" applyAlignment="1" applyProtection="1">
      <alignment horizontal="left"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 wrapText="1"/>
    </xf>
    <xf numFmtId="0" fontId="3" fillId="10" borderId="8" xfId="0" applyFont="1" applyFill="1" applyBorder="1" applyAlignment="1" applyProtection="1">
      <alignment horizontal="center" vertical="center" wrapText="1"/>
    </xf>
    <xf numFmtId="0" fontId="7" fillId="17" borderId="6" xfId="0" applyFont="1" applyFill="1" applyBorder="1" applyAlignment="1" applyProtection="1">
      <alignment horizontal="left" vertical="top" wrapText="1"/>
    </xf>
    <xf numFmtId="0" fontId="7" fillId="17" borderId="8" xfId="0" applyFont="1" applyFill="1" applyBorder="1" applyAlignment="1" applyProtection="1">
      <alignment horizontal="left" vertical="top" wrapText="1"/>
    </xf>
    <xf numFmtId="0" fontId="7" fillId="18" borderId="6" xfId="0" applyFont="1" applyFill="1" applyBorder="1" applyAlignment="1" applyProtection="1">
      <alignment horizontal="left" vertical="top" wrapText="1"/>
    </xf>
    <xf numFmtId="0" fontId="7" fillId="18" borderId="8" xfId="0" applyFont="1" applyFill="1" applyBorder="1" applyAlignment="1" applyProtection="1">
      <alignment horizontal="left" vertical="top" wrapText="1"/>
    </xf>
    <xf numFmtId="0" fontId="7" fillId="9" borderId="6" xfId="0" applyFont="1" applyFill="1" applyBorder="1" applyAlignment="1" applyProtection="1">
      <alignment horizontal="left" vertical="top" wrapText="1"/>
    </xf>
    <xf numFmtId="0" fontId="7" fillId="9" borderId="8" xfId="0" applyFont="1" applyFill="1" applyBorder="1" applyAlignment="1" applyProtection="1">
      <alignment horizontal="left" vertical="top" wrapText="1"/>
    </xf>
    <xf numFmtId="0" fontId="7" fillId="16" borderId="6" xfId="0" applyFont="1" applyFill="1" applyBorder="1" applyAlignment="1" applyProtection="1">
      <alignment horizontal="left" vertical="top" wrapText="1"/>
    </xf>
    <xf numFmtId="0" fontId="7" fillId="16" borderId="8" xfId="0" applyFont="1" applyFill="1" applyBorder="1" applyAlignment="1" applyProtection="1">
      <alignment horizontal="left" vertical="top" wrapText="1"/>
    </xf>
    <xf numFmtId="0" fontId="7" fillId="13" borderId="13" xfId="0" applyFont="1" applyFill="1" applyBorder="1" applyAlignment="1" applyProtection="1">
      <alignment horizontal="center" vertical="center" wrapText="1"/>
    </xf>
    <xf numFmtId="0" fontId="7" fillId="13" borderId="12" xfId="0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top" wrapText="1"/>
    </xf>
    <xf numFmtId="0" fontId="7" fillId="4" borderId="8" xfId="0" applyFont="1" applyFill="1" applyBorder="1" applyAlignment="1" applyProtection="1">
      <alignment horizontal="left" vertical="top" wrapText="1"/>
    </xf>
    <xf numFmtId="0" fontId="19" fillId="8" borderId="15" xfId="0" applyFont="1" applyFill="1" applyBorder="1" applyAlignment="1" applyProtection="1">
      <alignment horizontal="center" vertical="center" wrapText="1"/>
    </xf>
    <xf numFmtId="0" fontId="19" fillId="8" borderId="16" xfId="0" applyFont="1" applyFill="1" applyBorder="1" applyAlignment="1" applyProtection="1">
      <alignment horizontal="center" vertical="center" wrapText="1"/>
    </xf>
    <xf numFmtId="0" fontId="19" fillId="8" borderId="17" xfId="0" applyFont="1" applyFill="1" applyBorder="1" applyAlignment="1" applyProtection="1">
      <alignment horizontal="center" vertical="center" wrapText="1"/>
    </xf>
    <xf numFmtId="0" fontId="6" fillId="9" borderId="22" xfId="0" applyFont="1" applyFill="1" applyBorder="1" applyAlignment="1" applyProtection="1">
      <alignment horizontal="center"/>
    </xf>
    <xf numFmtId="0" fontId="6" fillId="9" borderId="23" xfId="0" applyFont="1" applyFill="1" applyBorder="1" applyAlignment="1" applyProtection="1">
      <alignment horizontal="center"/>
    </xf>
    <xf numFmtId="0" fontId="7" fillId="13" borderId="11" xfId="0" applyFont="1" applyFill="1" applyBorder="1" applyAlignment="1" applyProtection="1">
      <alignment horizontal="center" vertical="center" wrapText="1"/>
    </xf>
    <xf numFmtId="0" fontId="7" fillId="13" borderId="7" xfId="0" applyFont="1" applyFill="1" applyBorder="1" applyAlignment="1" applyProtection="1">
      <alignment horizontal="center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left" vertical="center" wrapText="1"/>
    </xf>
    <xf numFmtId="0" fontId="3" fillId="10" borderId="13" xfId="0" applyFont="1" applyFill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justify" vertical="top" wrapText="1"/>
    </xf>
    <xf numFmtId="0" fontId="7" fillId="16" borderId="8" xfId="0" applyFont="1" applyFill="1" applyBorder="1" applyAlignment="1" applyProtection="1">
      <alignment horizontal="justify" vertical="top" wrapText="1"/>
    </xf>
    <xf numFmtId="0" fontId="7" fillId="4" borderId="6" xfId="0" applyFont="1" applyFill="1" applyBorder="1" applyAlignment="1" applyProtection="1">
      <alignment horizontal="justify" vertical="top" wrapText="1"/>
    </xf>
    <xf numFmtId="0" fontId="7" fillId="4" borderId="8" xfId="0" applyFont="1" applyFill="1" applyBorder="1" applyAlignment="1" applyProtection="1">
      <alignment horizontal="justify" vertical="top" wrapText="1"/>
    </xf>
    <xf numFmtId="0" fontId="7" fillId="17" borderId="6" xfId="0" applyFont="1" applyFill="1" applyBorder="1" applyAlignment="1" applyProtection="1">
      <alignment horizontal="justify" vertical="top" wrapText="1"/>
    </xf>
    <xf numFmtId="0" fontId="7" fillId="17" borderId="8" xfId="0" applyFont="1" applyFill="1" applyBorder="1" applyAlignment="1" applyProtection="1">
      <alignment horizontal="justify" vertical="top" wrapText="1"/>
    </xf>
    <xf numFmtId="0" fontId="7" fillId="18" borderId="6" xfId="0" applyFont="1" applyFill="1" applyBorder="1" applyAlignment="1" applyProtection="1">
      <alignment horizontal="justify" vertical="top" wrapText="1"/>
    </xf>
    <xf numFmtId="0" fontId="7" fillId="18" borderId="8" xfId="0" applyFont="1" applyFill="1" applyBorder="1" applyAlignment="1" applyProtection="1">
      <alignment horizontal="justify" vertical="top" wrapText="1"/>
    </xf>
    <xf numFmtId="0" fontId="7" fillId="9" borderId="6" xfId="0" applyFont="1" applyFill="1" applyBorder="1" applyAlignment="1" applyProtection="1">
      <alignment horizontal="justify" vertical="top" wrapText="1"/>
    </xf>
    <xf numFmtId="0" fontId="7" fillId="9" borderId="8" xfId="0" applyFont="1" applyFill="1" applyBorder="1" applyAlignment="1" applyProtection="1">
      <alignment horizontal="justify" vertical="top" wrapText="1"/>
    </xf>
    <xf numFmtId="0" fontId="7" fillId="9" borderId="13" xfId="0" applyFont="1" applyFill="1" applyBorder="1" applyAlignment="1" applyProtection="1">
      <alignment horizontal="left" vertical="top" wrapText="1"/>
    </xf>
    <xf numFmtId="0" fontId="7" fillId="9" borderId="10" xfId="0" applyFont="1" applyFill="1" applyBorder="1" applyAlignment="1" applyProtection="1">
      <alignment horizontal="left" vertical="top" wrapText="1"/>
    </xf>
    <xf numFmtId="0" fontId="6" fillId="9" borderId="6" xfId="0" applyFont="1" applyFill="1" applyBorder="1" applyAlignment="1" applyProtection="1">
      <alignment horizontal="center"/>
    </xf>
    <xf numFmtId="0" fontId="6" fillId="9" borderId="8" xfId="0" applyFont="1" applyFill="1" applyBorder="1" applyAlignment="1" applyProtection="1">
      <alignment horizontal="center"/>
    </xf>
    <xf numFmtId="0" fontId="6" fillId="9" borderId="9" xfId="0" applyFont="1" applyFill="1" applyBorder="1" applyAlignment="1" applyProtection="1">
      <alignment horizontal="center"/>
    </xf>
    <xf numFmtId="0" fontId="3" fillId="10" borderId="9" xfId="0" applyFont="1" applyFill="1" applyBorder="1" applyAlignment="1" applyProtection="1">
      <alignment horizontal="center" vertical="center" wrapText="1"/>
    </xf>
    <xf numFmtId="0" fontId="7" fillId="17" borderId="9" xfId="0" applyFont="1" applyFill="1" applyBorder="1" applyAlignment="1" applyProtection="1">
      <alignment horizontal="left" vertical="top" wrapText="1"/>
    </xf>
    <xf numFmtId="0" fontId="7" fillId="12" borderId="6" xfId="0" applyFont="1" applyFill="1" applyBorder="1" applyAlignment="1" applyProtection="1">
      <alignment horizontal="center" vertical="center" wrapText="1"/>
    </xf>
    <xf numFmtId="0" fontId="7" fillId="12" borderId="9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top" wrapText="1"/>
    </xf>
    <xf numFmtId="0" fontId="7" fillId="9" borderId="57" xfId="0" applyFont="1" applyFill="1" applyBorder="1" applyAlignment="1" applyProtection="1">
      <alignment horizontal="left" vertical="top" wrapText="1"/>
    </xf>
    <xf numFmtId="0" fontId="7" fillId="16" borderId="9" xfId="0" applyFont="1" applyFill="1" applyBorder="1" applyAlignment="1" applyProtection="1">
      <alignment horizontal="left" vertical="top" wrapText="1"/>
    </xf>
    <xf numFmtId="0" fontId="7" fillId="18" borderId="9" xfId="0" applyFont="1" applyFill="1" applyBorder="1" applyAlignment="1" applyProtection="1">
      <alignment horizontal="left" vertical="top" wrapText="1"/>
    </xf>
    <xf numFmtId="0" fontId="15" fillId="11" borderId="0" xfId="0" applyFont="1" applyFill="1" applyAlignment="1">
      <alignment horizontal="center"/>
    </xf>
    <xf numFmtId="165" fontId="42" fillId="14" borderId="0" xfId="0" applyNumberFormat="1" applyFont="1" applyFill="1" applyBorder="1" applyAlignment="1" applyProtection="1">
      <alignment horizontal="center" vertical="center"/>
      <protection locked="0"/>
    </xf>
    <xf numFmtId="0" fontId="7" fillId="25" borderId="51" xfId="0" applyFont="1" applyFill="1" applyBorder="1" applyAlignment="1">
      <alignment horizontal="left" wrapText="1"/>
    </xf>
    <xf numFmtId="0" fontId="7" fillId="25" borderId="46" xfId="0" applyFont="1" applyFill="1" applyBorder="1" applyAlignment="1">
      <alignment horizontal="left" wrapText="1"/>
    </xf>
    <xf numFmtId="0" fontId="7" fillId="25" borderId="51" xfId="0" applyFont="1" applyFill="1" applyBorder="1" applyAlignment="1">
      <alignment horizontal="left" vertical="center" wrapText="1"/>
    </xf>
    <xf numFmtId="0" fontId="7" fillId="25" borderId="46" xfId="0" applyFont="1" applyFill="1" applyBorder="1" applyAlignment="1">
      <alignment horizontal="left" vertical="center" wrapText="1"/>
    </xf>
    <xf numFmtId="0" fontId="7" fillId="12" borderId="51" xfId="0" applyFont="1" applyFill="1" applyBorder="1" applyAlignment="1">
      <alignment horizontal="center" wrapText="1"/>
    </xf>
    <xf numFmtId="0" fontId="7" fillId="12" borderId="46" xfId="0" applyFont="1" applyFill="1" applyBorder="1" applyAlignment="1">
      <alignment horizontal="center" wrapText="1"/>
    </xf>
    <xf numFmtId="0" fontId="7" fillId="13" borderId="51" xfId="0" applyFont="1" applyFill="1" applyBorder="1" applyAlignment="1">
      <alignment horizontal="center" wrapText="1"/>
    </xf>
    <xf numFmtId="0" fontId="7" fillId="13" borderId="46" xfId="0" applyFont="1" applyFill="1" applyBorder="1" applyAlignment="1">
      <alignment horizontal="center" wrapText="1"/>
    </xf>
    <xf numFmtId="0" fontId="7" fillId="13" borderId="54" xfId="0" applyFont="1" applyFill="1" applyBorder="1" applyAlignment="1">
      <alignment horizontal="center"/>
    </xf>
    <xf numFmtId="0" fontId="7" fillId="13" borderId="55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7" fillId="13" borderId="48" xfId="0" applyFont="1" applyFill="1" applyBorder="1" applyAlignment="1">
      <alignment horizontal="center"/>
    </xf>
    <xf numFmtId="0" fontId="7" fillId="13" borderId="52" xfId="0" applyFont="1" applyFill="1" applyBorder="1" applyAlignment="1">
      <alignment horizontal="center"/>
    </xf>
    <xf numFmtId="0" fontId="7" fillId="13" borderId="47" xfId="0" applyFont="1" applyFill="1" applyBorder="1" applyAlignment="1">
      <alignment horizontal="center"/>
    </xf>
    <xf numFmtId="0" fontId="7" fillId="13" borderId="51" xfId="0" applyFont="1" applyFill="1" applyBorder="1" applyAlignment="1">
      <alignment horizontal="center" vertical="center" wrapText="1"/>
    </xf>
    <xf numFmtId="0" fontId="7" fillId="13" borderId="46" xfId="0" applyFont="1" applyFill="1" applyBorder="1" applyAlignment="1">
      <alignment horizontal="center" vertical="center" wrapText="1"/>
    </xf>
    <xf numFmtId="0" fontId="7" fillId="25" borderId="51" xfId="0" applyFont="1" applyFill="1" applyBorder="1" applyAlignment="1">
      <alignment horizontal="center"/>
    </xf>
    <xf numFmtId="0" fontId="7" fillId="25" borderId="27" xfId="0" applyFont="1" applyFill="1" applyBorder="1" applyAlignment="1">
      <alignment horizontal="center"/>
    </xf>
    <xf numFmtId="0" fontId="7" fillId="25" borderId="46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3"/>
    <cellStyle name="Porcentaje" xfId="2" builtinId="5"/>
  </cellStyles>
  <dxfs count="76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theme="0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theme="0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color theme="0"/>
      </font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B$15" lockText="1"/>
</file>

<file path=xl/ctrlProps/ctrlProp2.xml><?xml version="1.0" encoding="utf-8"?>
<formControlPr xmlns="http://schemas.microsoft.com/office/spreadsheetml/2009/9/main" objectType="CheckBox" fmlaLink="$B$16" lockText="1"/>
</file>

<file path=xl/ctrlProps/ctrlProp3.xml><?xml version="1.0" encoding="utf-8"?>
<formControlPr xmlns="http://schemas.microsoft.com/office/spreadsheetml/2009/9/main" objectType="CheckBox" fmlaLink="$B$17" lockText="1"/>
</file>

<file path=xl/ctrlProps/ctrlProp4.xml><?xml version="1.0" encoding="utf-8"?>
<formControlPr xmlns="http://schemas.microsoft.com/office/spreadsheetml/2009/9/main" objectType="CheckBox" fmlaLink="$B$18" lockText="1"/>
</file>

<file path=xl/ctrlProps/ctrlProp5.xml><?xml version="1.0" encoding="utf-8"?>
<formControlPr xmlns="http://schemas.microsoft.com/office/spreadsheetml/2009/9/main" objectType="CheckBox" fmlaLink="$B$19" lockText="1"/>
</file>

<file path=xl/ctrlProps/ctrlProp6.xml><?xml version="1.0" encoding="utf-8"?>
<formControlPr xmlns="http://schemas.microsoft.com/office/spreadsheetml/2009/9/main" objectType="CheckBox" fmlaLink="$B$20" lockText="1"/>
</file>

<file path=xl/ctrlProps/ctrlProp7.xml><?xml version="1.0" encoding="utf-8"?>
<formControlPr xmlns="http://schemas.microsoft.com/office/spreadsheetml/2009/9/main" objectType="CheckBox" fmlaLink="$B$21" lockText="1"/>
</file>

<file path=xl/ctrlProps/ctrlProp8.xml><?xml version="1.0" encoding="utf-8"?>
<formControlPr xmlns="http://schemas.microsoft.com/office/spreadsheetml/2009/9/main" objectType="CheckBox" fmlaLink="$B$22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57150</xdr:rowOff>
    </xdr:from>
    <xdr:to>
      <xdr:col>4</xdr:col>
      <xdr:colOff>723675</xdr:colOff>
      <xdr:row>0</xdr:row>
      <xdr:rowOff>656298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57150"/>
          <a:ext cx="1800000" cy="5991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2019300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Producción costa afuera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2028825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Producción en tierra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2028825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Producción de no convencionales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2028825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Ductos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2028825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Terminales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2028825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Distribución / 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2028825</xdr:colOff>
          <xdr:row>21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Refinación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2028825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Petroquímica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38100</xdr:rowOff>
    </xdr:from>
    <xdr:to>
      <xdr:col>10</xdr:col>
      <xdr:colOff>703650</xdr:colOff>
      <xdr:row>1</xdr:row>
      <xdr:rowOff>1838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8600" y="38100"/>
          <a:ext cx="1980000" cy="659063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10</xdr:col>
      <xdr:colOff>703650</xdr:colOff>
      <xdr:row>1</xdr:row>
      <xdr:rowOff>1838</xdr:rowOff>
    </xdr:to>
    <xdr:pic>
      <xdr:nvPicPr>
        <xdr:cNvPr id="4" name="3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9575" y="38100"/>
          <a:ext cx="1980000" cy="659063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10</xdr:col>
      <xdr:colOff>703650</xdr:colOff>
      <xdr:row>1</xdr:row>
      <xdr:rowOff>1838</xdr:rowOff>
    </xdr:to>
    <xdr:pic>
      <xdr:nvPicPr>
        <xdr:cNvPr id="5" name="4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9575" y="38100"/>
          <a:ext cx="1980000" cy="659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287904</xdr:colOff>
      <xdr:row>0</xdr:row>
      <xdr:rowOff>12700</xdr:rowOff>
    </xdr:from>
    <xdr:to>
      <xdr:col>16</xdr:col>
      <xdr:colOff>751048</xdr:colOff>
      <xdr:row>0</xdr:row>
      <xdr:rowOff>679700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6504" y="12700"/>
          <a:ext cx="1987144" cy="667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248709</xdr:colOff>
      <xdr:row>0</xdr:row>
      <xdr:rowOff>14817</xdr:rowOff>
    </xdr:from>
    <xdr:to>
      <xdr:col>3</xdr:col>
      <xdr:colOff>2228709</xdr:colOff>
      <xdr:row>0</xdr:row>
      <xdr:rowOff>670705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16234" y="14817"/>
          <a:ext cx="1980000" cy="655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452004</xdr:colOff>
      <xdr:row>0</xdr:row>
      <xdr:rowOff>16452</xdr:rowOff>
    </xdr:from>
    <xdr:to>
      <xdr:col>6</xdr:col>
      <xdr:colOff>914932</xdr:colOff>
      <xdr:row>0</xdr:row>
      <xdr:rowOff>675515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3204" y="16452"/>
          <a:ext cx="1977403" cy="6590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28575</xdr:rowOff>
    </xdr:from>
    <xdr:to>
      <xdr:col>5</xdr:col>
      <xdr:colOff>1503750</xdr:colOff>
      <xdr:row>0</xdr:row>
      <xdr:rowOff>687638</xdr:rowOff>
    </xdr:to>
    <xdr:pic>
      <xdr:nvPicPr>
        <xdr:cNvPr id="3" name="2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28575"/>
          <a:ext cx="1980000" cy="6590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24919</xdr:rowOff>
    </xdr:from>
    <xdr:to>
      <xdr:col>8</xdr:col>
      <xdr:colOff>691528</xdr:colOff>
      <xdr:row>0</xdr:row>
      <xdr:rowOff>683982</xdr:rowOff>
    </xdr:to>
    <xdr:pic>
      <xdr:nvPicPr>
        <xdr:cNvPr id="2" name="1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2995" y="24919"/>
          <a:ext cx="1986928" cy="6590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234251</xdr:colOff>
      <xdr:row>0</xdr:row>
      <xdr:rowOff>24919</xdr:rowOff>
    </xdr:from>
    <xdr:to>
      <xdr:col>21</xdr:col>
      <xdr:colOff>482866</xdr:colOff>
      <xdr:row>0</xdr:row>
      <xdr:rowOff>683982</xdr:rowOff>
    </xdr:to>
    <xdr:pic>
      <xdr:nvPicPr>
        <xdr:cNvPr id="2" name="1 Imagen" descr="logo_arpe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83439" y="24919"/>
          <a:ext cx="1986928" cy="65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showGridLines="0" tabSelected="1" zoomScale="80" zoomScaleNormal="80" workbookViewId="0">
      <selection activeCell="C19" sqref="C19"/>
    </sheetView>
  </sheetViews>
  <sheetFormatPr baseColWidth="10" defaultRowHeight="12.75" x14ac:dyDescent="0.2"/>
  <cols>
    <col min="1" max="1" width="35.5703125" style="13" customWidth="1"/>
    <col min="2" max="2" width="14.140625" style="13" customWidth="1"/>
    <col min="3" max="16384" width="11.42578125" style="13"/>
  </cols>
  <sheetData>
    <row r="1" spans="1:10" ht="54.75" customHeight="1" x14ac:dyDescent="0.2">
      <c r="A1" s="384" t="s">
        <v>153</v>
      </c>
      <c r="B1" s="384"/>
      <c r="C1" s="15"/>
      <c r="D1" s="15"/>
      <c r="E1" s="15"/>
      <c r="F1" s="14"/>
      <c r="G1" s="14"/>
      <c r="H1" s="14"/>
      <c r="I1" s="14"/>
      <c r="J1" s="14"/>
    </row>
    <row r="2" spans="1:10" x14ac:dyDescent="0.2">
      <c r="A2" s="392"/>
      <c r="B2" s="392"/>
    </row>
    <row r="3" spans="1:10" s="62" customFormat="1" ht="15.75" thickBot="1" x14ac:dyDescent="0.3">
      <c r="A3" s="114" t="s">
        <v>68</v>
      </c>
      <c r="B3" s="115"/>
      <c r="C3" s="115"/>
      <c r="D3" s="115"/>
      <c r="E3" s="115"/>
    </row>
    <row r="4" spans="1:10" s="62" customFormat="1" ht="15.75" thickBot="1" x14ac:dyDescent="0.3">
      <c r="A4" s="116" t="s">
        <v>136</v>
      </c>
      <c r="B4" s="178"/>
      <c r="C4" s="117"/>
      <c r="D4" s="117"/>
      <c r="E4" s="117"/>
    </row>
    <row r="5" spans="1:10" s="62" customFormat="1" ht="18.75" customHeight="1" thickBot="1" x14ac:dyDescent="0.3">
      <c r="A5" s="118" t="s">
        <v>69</v>
      </c>
      <c r="B5" s="385"/>
      <c r="C5" s="386"/>
      <c r="D5" s="386"/>
      <c r="E5" s="387"/>
    </row>
    <row r="6" spans="1:10" s="62" customFormat="1" ht="20.25" customHeight="1" thickBot="1" x14ac:dyDescent="0.3">
      <c r="A6" s="116" t="s">
        <v>70</v>
      </c>
      <c r="B6" s="391"/>
      <c r="C6" s="386"/>
      <c r="D6" s="386"/>
      <c r="E6" s="387"/>
    </row>
    <row r="7" spans="1:10" s="62" customFormat="1" ht="30.75" thickBot="1" x14ac:dyDescent="0.3">
      <c r="A7" s="119" t="s">
        <v>71</v>
      </c>
      <c r="B7" s="388"/>
      <c r="C7" s="389"/>
      <c r="D7" s="389"/>
      <c r="E7" s="390"/>
    </row>
    <row r="8" spans="1:10" s="62" customFormat="1" ht="15" x14ac:dyDescent="0.25"/>
    <row r="9" spans="1:10" s="62" customFormat="1" ht="15.75" thickBot="1" x14ac:dyDescent="0.3">
      <c r="A9" s="370" t="s">
        <v>72</v>
      </c>
      <c r="B9" s="371"/>
    </row>
    <row r="10" spans="1:10" s="62" customFormat="1" ht="15.75" thickBot="1" x14ac:dyDescent="0.3">
      <c r="A10" s="120" t="s">
        <v>73</v>
      </c>
      <c r="B10" s="372"/>
      <c r="C10" s="373"/>
      <c r="D10" s="373"/>
      <c r="E10" s="374"/>
    </row>
    <row r="11" spans="1:10" s="62" customFormat="1" ht="15.75" thickBot="1" x14ac:dyDescent="0.3">
      <c r="A11" s="121" t="s">
        <v>74</v>
      </c>
      <c r="B11" s="375"/>
      <c r="C11" s="376"/>
      <c r="D11" s="376"/>
      <c r="E11" s="377"/>
      <c r="F11" s="122"/>
    </row>
    <row r="12" spans="1:10" s="62" customFormat="1" ht="15" x14ac:dyDescent="0.25"/>
    <row r="13" spans="1:10" s="62" customFormat="1" ht="15" x14ac:dyDescent="0.25"/>
    <row r="14" spans="1:10" s="62" customFormat="1" ht="15" x14ac:dyDescent="0.25">
      <c r="A14" s="159" t="s">
        <v>75</v>
      </c>
    </row>
    <row r="15" spans="1:10" s="62" customFormat="1" ht="18.75" customHeight="1" x14ac:dyDescent="0.25">
      <c r="A15" s="165"/>
      <c r="B15" s="166" t="b">
        <v>0</v>
      </c>
    </row>
    <row r="16" spans="1:10" s="62" customFormat="1" ht="18.75" customHeight="1" x14ac:dyDescent="0.25">
      <c r="A16" s="165"/>
      <c r="B16" s="166" t="b">
        <v>0</v>
      </c>
    </row>
    <row r="17" spans="1:5" s="62" customFormat="1" ht="18.75" customHeight="1" x14ac:dyDescent="0.25">
      <c r="A17" s="165"/>
      <c r="B17" s="166" t="b">
        <v>0</v>
      </c>
    </row>
    <row r="18" spans="1:5" s="62" customFormat="1" ht="18.75" customHeight="1" x14ac:dyDescent="0.25">
      <c r="A18" s="160"/>
      <c r="B18" s="166" t="b">
        <v>0</v>
      </c>
    </row>
    <row r="19" spans="1:5" s="62" customFormat="1" ht="18.75" customHeight="1" x14ac:dyDescent="0.25">
      <c r="A19" s="161"/>
      <c r="B19" s="166" t="b">
        <v>0</v>
      </c>
    </row>
    <row r="20" spans="1:5" s="62" customFormat="1" ht="18.75" customHeight="1" x14ac:dyDescent="0.25">
      <c r="A20" s="162"/>
      <c r="B20" s="166" t="b">
        <v>0</v>
      </c>
    </row>
    <row r="21" spans="1:5" s="62" customFormat="1" ht="18.75" customHeight="1" x14ac:dyDescent="0.25">
      <c r="A21" s="163"/>
      <c r="B21" s="166" t="b">
        <v>0</v>
      </c>
    </row>
    <row r="22" spans="1:5" s="62" customFormat="1" ht="18.75" customHeight="1" x14ac:dyDescent="0.25">
      <c r="A22" s="164"/>
      <c r="B22" s="166" t="b">
        <v>0</v>
      </c>
    </row>
    <row r="23" spans="1:5" s="62" customFormat="1" ht="15.75" thickBot="1" x14ac:dyDescent="0.3"/>
    <row r="24" spans="1:5" s="62" customFormat="1" ht="18.75" customHeight="1" x14ac:dyDescent="0.25">
      <c r="A24" s="378" t="s">
        <v>4</v>
      </c>
      <c r="B24" s="379"/>
      <c r="C24" s="379"/>
      <c r="D24" s="379"/>
      <c r="E24" s="380"/>
    </row>
    <row r="25" spans="1:5" s="62" customFormat="1" ht="18.75" customHeight="1" thickBot="1" x14ac:dyDescent="0.3">
      <c r="A25" s="381"/>
      <c r="B25" s="382"/>
      <c r="C25" s="382"/>
      <c r="D25" s="382"/>
      <c r="E25" s="383"/>
    </row>
  </sheetData>
  <mergeCells count="9">
    <mergeCell ref="A9:B9"/>
    <mergeCell ref="B10:E10"/>
    <mergeCell ref="B11:E11"/>
    <mergeCell ref="A24:E25"/>
    <mergeCell ref="A1:B1"/>
    <mergeCell ref="B5:E5"/>
    <mergeCell ref="B7:E7"/>
    <mergeCell ref="B6:E6"/>
    <mergeCell ref="A2:B2"/>
  </mergeCells>
  <phoneticPr fontId="1" type="noConversion"/>
  <pageMargins left="0.75" right="0.75" top="1" bottom="1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2019300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2028825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0</xdr:col>
                    <xdr:colOff>2028825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2028825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2028825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2028825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2028825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2028825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40"/>
  <sheetViews>
    <sheetView showGridLines="0" zoomScale="70" zoomScaleNormal="70" workbookViewId="0">
      <selection activeCell="I9" sqref="I9"/>
    </sheetView>
  </sheetViews>
  <sheetFormatPr baseColWidth="10" defaultRowHeight="12.75" x14ac:dyDescent="0.2"/>
  <cols>
    <col min="1" max="1" width="26" style="17" customWidth="1"/>
    <col min="2" max="2" width="20" style="17" bestFit="1" customWidth="1"/>
    <col min="3" max="3" width="12" style="17" bestFit="1" customWidth="1"/>
    <col min="4" max="4" width="12.42578125" style="17" customWidth="1"/>
    <col min="5" max="8" width="11.42578125" style="17"/>
    <col min="9" max="9" width="12.42578125" style="17" bestFit="1" customWidth="1"/>
    <col min="10" max="16384" width="11.42578125" style="17"/>
  </cols>
  <sheetData>
    <row r="1" spans="1:14" ht="54.75" customHeight="1" x14ac:dyDescent="0.2">
      <c r="A1" s="409" t="s">
        <v>153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16"/>
    </row>
    <row r="2" spans="1:14" s="32" customFormat="1" ht="18.75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4" ht="15.75" customHeight="1" x14ac:dyDescent="0.25">
      <c r="A3" s="414" t="s">
        <v>25</v>
      </c>
      <c r="B3" s="414"/>
      <c r="C3" s="414"/>
      <c r="D3" s="414"/>
      <c r="E3" s="414"/>
      <c r="F3" s="18"/>
      <c r="G3" s="18"/>
      <c r="H3" s="18"/>
      <c r="I3" s="18"/>
    </row>
    <row r="4" spans="1:14" ht="17.25" customHeight="1" x14ac:dyDescent="0.25">
      <c r="A4" s="415" t="s">
        <v>144</v>
      </c>
      <c r="B4" s="415"/>
      <c r="C4" s="415"/>
      <c r="D4" s="415"/>
      <c r="E4" s="415"/>
      <c r="F4" s="18"/>
      <c r="G4" s="18"/>
      <c r="H4" s="18"/>
      <c r="I4" s="18"/>
    </row>
    <row r="5" spans="1:14" ht="16.5" thickBot="1" x14ac:dyDescent="0.3">
      <c r="B5" s="19"/>
    </row>
    <row r="6" spans="1:14" ht="30.75" thickBot="1" x14ac:dyDescent="0.3">
      <c r="A6" s="2"/>
      <c r="B6" s="20"/>
      <c r="C6" s="33" t="s">
        <v>79</v>
      </c>
      <c r="D6" s="34" t="s">
        <v>39</v>
      </c>
      <c r="E6" s="34" t="s">
        <v>38</v>
      </c>
    </row>
    <row r="7" spans="1:14" ht="16.5" customHeight="1" thickBot="1" x14ac:dyDescent="0.3">
      <c r="A7" s="410" t="s">
        <v>78</v>
      </c>
      <c r="B7" s="361" t="s">
        <v>19</v>
      </c>
      <c r="C7" s="35"/>
      <c r="D7" s="35"/>
      <c r="E7" s="10" t="str">
        <f>IF(A33=FALSE,"NP",SUM(C7:D7))</f>
        <v>NP</v>
      </c>
      <c r="F7" s="26"/>
      <c r="G7" s="183" t="str">
        <f>IF(AND($A33=TRUE,COUNTBLANK(C7:D7)&gt;0),"Existen celdas vacías en Producción costa afuera, favor completar","")</f>
        <v/>
      </c>
      <c r="L7" s="21"/>
      <c r="M7" s="22"/>
    </row>
    <row r="8" spans="1:14" ht="16.5" customHeight="1" thickBot="1" x14ac:dyDescent="0.3">
      <c r="A8" s="411"/>
      <c r="B8" s="362" t="s">
        <v>18</v>
      </c>
      <c r="C8" s="35"/>
      <c r="D8" s="35"/>
      <c r="E8" s="10" t="str">
        <f>IF(A34=FALSE,"NP",SUM(C8:D8))</f>
        <v>NP</v>
      </c>
      <c r="G8" s="183" t="str">
        <f>IF(AND($A34=TRUE,COUNTBLANK(C8:D8)&gt;0),"Existen celdas vacías en Producción en tierra, favor completar","")</f>
        <v/>
      </c>
      <c r="L8" s="23"/>
      <c r="M8" s="24"/>
      <c r="N8" s="25"/>
    </row>
    <row r="9" spans="1:14" ht="15.75" thickBot="1" x14ac:dyDescent="0.3">
      <c r="A9" s="411"/>
      <c r="B9" s="362" t="s">
        <v>31</v>
      </c>
      <c r="C9" s="35"/>
      <c r="D9" s="35"/>
      <c r="E9" s="10" t="str">
        <f>IF(A35=FALSE,"NP",SUM(C9:D9))</f>
        <v>NP</v>
      </c>
      <c r="G9" s="183" t="str">
        <f>IF(AND($A35=TRUE,COUNTBLANK(C9:D9)&gt;0),"Existen celdas vacías en Producción no convencionales, favor completar","")</f>
        <v/>
      </c>
    </row>
    <row r="10" spans="1:14" ht="15.75" thickBot="1" x14ac:dyDescent="0.3">
      <c r="A10" s="412"/>
      <c r="B10" s="363" t="s">
        <v>3</v>
      </c>
      <c r="C10" s="150" t="str">
        <f>IF(AND($A$33=FALSE,$A$34=FALSE),"NP",SUM(C7:C8))</f>
        <v>NP</v>
      </c>
      <c r="D10" s="150" t="str">
        <f>IF(AND($A$33=FALSE,$A$34=FALSE),"NP",SUM(D7:D8))</f>
        <v>NP</v>
      </c>
      <c r="E10" s="150" t="str">
        <f>IF(AND(A33=FALSE,A34=FALSE),"NP",SUM(C10:D10))</f>
        <v>NP</v>
      </c>
      <c r="F10" s="26"/>
      <c r="G10" s="183"/>
    </row>
    <row r="11" spans="1:14" ht="16.5" customHeight="1" thickBot="1" x14ac:dyDescent="0.3">
      <c r="A11" s="398" t="s">
        <v>5</v>
      </c>
      <c r="B11" s="399"/>
      <c r="C11" s="35"/>
      <c r="D11" s="35"/>
      <c r="E11" s="10" t="str">
        <f>IF(A36=FALSE,"NP",SUM(C11:D11))</f>
        <v>NP</v>
      </c>
      <c r="G11" s="183" t="str">
        <f>IF(AND($A36=TRUE,COUNTBLANK(C11:D11)&gt;0),"Existen celdas vacías en Transporte por ductos, favor completar","")</f>
        <v/>
      </c>
    </row>
    <row r="12" spans="1:14" ht="16.5" customHeight="1" thickBot="1" x14ac:dyDescent="0.3">
      <c r="A12" s="400" t="s">
        <v>6</v>
      </c>
      <c r="B12" s="401"/>
      <c r="C12" s="35"/>
      <c r="D12" s="35"/>
      <c r="E12" s="10" t="str">
        <f>IF(A37=FALSE,"NP",SUM(C12:D12))</f>
        <v>NP</v>
      </c>
      <c r="G12" s="183" t="str">
        <f>IF(AND($A37=TRUE,COUNTBLANK(C12:D12)&gt;0),"Existen celdas vacías en Movimiento de Terminales, favor completar","")</f>
        <v/>
      </c>
    </row>
    <row r="13" spans="1:14" ht="15.75" thickBot="1" x14ac:dyDescent="0.3">
      <c r="A13" s="419" t="s">
        <v>13</v>
      </c>
      <c r="B13" s="420"/>
      <c r="C13" s="35"/>
      <c r="D13" s="35"/>
      <c r="E13" s="10" t="str">
        <f>IF(A38=FALSE,"NP",SUM(C13:D13))</f>
        <v>NP</v>
      </c>
      <c r="G13" s="183" t="str">
        <f>IF(AND($A38=TRUE,COUNTBLANK(C13:D13)&gt;0),"Existen celdas vacías en Distribución / Transporte, favor completar","")</f>
        <v/>
      </c>
    </row>
    <row r="14" spans="1:14" ht="16.5" customHeight="1" thickBot="1" x14ac:dyDescent="0.3">
      <c r="A14" s="364" t="s">
        <v>7</v>
      </c>
      <c r="B14" s="365"/>
      <c r="C14" s="35"/>
      <c r="D14" s="175"/>
      <c r="E14" s="10" t="str">
        <f>IF(A39=FALSE,"NP",C14)</f>
        <v>NP</v>
      </c>
      <c r="G14" s="183" t="str">
        <f>IF(AND($A39=TRUE,COUNTBLANK(C14)&gt;0),"Existen celdas vacías en Refinación, favor completar","")</f>
        <v/>
      </c>
      <c r="H14" s="27"/>
    </row>
    <row r="15" spans="1:14" ht="16.5" customHeight="1" thickBot="1" x14ac:dyDescent="0.3">
      <c r="A15" s="366" t="s">
        <v>21</v>
      </c>
      <c r="B15" s="367"/>
      <c r="C15" s="35"/>
      <c r="D15" s="175"/>
      <c r="E15" s="10" t="str">
        <f>IF(A40=FALSE,"NP",C15)</f>
        <v>NP</v>
      </c>
      <c r="G15" s="183" t="str">
        <f>IF(AND($A40=TRUE,COUNTBLANK(C15)&gt;0),"Existen celdas vacías en Petroquímica, favor completar","")</f>
        <v/>
      </c>
    </row>
    <row r="16" spans="1:14" x14ac:dyDescent="0.2">
      <c r="G16" s="153"/>
    </row>
    <row r="17" spans="1:11" ht="17.25" x14ac:dyDescent="0.2">
      <c r="A17" s="421" t="s">
        <v>129</v>
      </c>
      <c r="B17" s="421"/>
      <c r="C17" s="421"/>
      <c r="D17" s="421"/>
      <c r="E17" s="421"/>
      <c r="G17" s="153"/>
    </row>
    <row r="18" spans="1:11" ht="13.5" thickBot="1" x14ac:dyDescent="0.25">
      <c r="G18" s="153"/>
    </row>
    <row r="19" spans="1:11" ht="25.5" customHeight="1" thickBot="1" x14ac:dyDescent="0.25">
      <c r="A19" s="416" t="s">
        <v>17</v>
      </c>
      <c r="B19" s="417"/>
      <c r="C19" s="417"/>
      <c r="D19" s="417"/>
      <c r="E19" s="418"/>
      <c r="F19" s="22"/>
      <c r="G19" s="413" t="s">
        <v>76</v>
      </c>
      <c r="H19" s="413"/>
      <c r="I19" s="413"/>
      <c r="J19" s="413"/>
      <c r="K19" s="28"/>
    </row>
    <row r="20" spans="1:11" ht="13.5" thickBot="1" x14ac:dyDescent="0.25">
      <c r="B20" s="22"/>
      <c r="G20" s="413"/>
      <c r="H20" s="413"/>
      <c r="I20" s="413"/>
      <c r="J20" s="413"/>
    </row>
    <row r="21" spans="1:11" ht="19.5" thickBot="1" x14ac:dyDescent="0.35">
      <c r="A21" s="408" t="s">
        <v>131</v>
      </c>
      <c r="B21" s="408"/>
      <c r="C21" s="408"/>
      <c r="D21" s="408"/>
      <c r="E21" s="408"/>
      <c r="G21" s="393" t="s">
        <v>77</v>
      </c>
      <c r="H21" s="393"/>
      <c r="I21" s="393"/>
      <c r="J21" s="394"/>
      <c r="K21" s="29"/>
    </row>
    <row r="22" spans="1:11" ht="7.5" customHeight="1" thickBot="1" x14ac:dyDescent="0.25">
      <c r="B22" s="22"/>
      <c r="G22" s="274"/>
      <c r="H22" s="274"/>
      <c r="I22" s="274"/>
      <c r="J22" s="274"/>
    </row>
    <row r="23" spans="1:11" ht="15.75" thickBot="1" x14ac:dyDescent="0.3">
      <c r="A23" s="395" t="s">
        <v>91</v>
      </c>
      <c r="B23" s="396"/>
      <c r="C23" s="397"/>
    </row>
    <row r="24" spans="1:11" ht="15.75" thickBot="1" x14ac:dyDescent="0.3">
      <c r="A24" s="406" t="s">
        <v>88</v>
      </c>
      <c r="B24" s="407"/>
      <c r="C24" s="179"/>
      <c r="G24" s="153"/>
    </row>
    <row r="25" spans="1:11" ht="15.75" thickBot="1" x14ac:dyDescent="0.3">
      <c r="A25" s="406" t="s">
        <v>89</v>
      </c>
      <c r="B25" s="407"/>
      <c r="C25" s="179"/>
      <c r="G25" s="153"/>
    </row>
    <row r="26" spans="1:11" ht="15.75" thickBot="1" x14ac:dyDescent="0.3">
      <c r="A26" s="406" t="s">
        <v>90</v>
      </c>
      <c r="B26" s="407"/>
      <c r="C26" s="179"/>
      <c r="G26" s="153"/>
    </row>
    <row r="27" spans="1:11" ht="15.75" thickBot="1" x14ac:dyDescent="0.3">
      <c r="A27" s="398" t="s">
        <v>84</v>
      </c>
      <c r="B27" s="399"/>
      <c r="C27" s="179"/>
      <c r="G27" s="153"/>
    </row>
    <row r="28" spans="1:11" ht="15.75" thickBot="1" x14ac:dyDescent="0.3">
      <c r="A28" s="400" t="s">
        <v>85</v>
      </c>
      <c r="B28" s="401"/>
      <c r="C28" s="179"/>
      <c r="G28" s="153"/>
    </row>
    <row r="29" spans="1:11" ht="15.75" thickBot="1" x14ac:dyDescent="0.3">
      <c r="A29" s="404" t="s">
        <v>86</v>
      </c>
      <c r="B29" s="405"/>
      <c r="C29" s="179"/>
      <c r="G29" s="153"/>
    </row>
    <row r="30" spans="1:11" ht="15.75" thickBot="1" x14ac:dyDescent="0.3">
      <c r="A30" s="402" t="s">
        <v>87</v>
      </c>
      <c r="B30" s="403"/>
      <c r="C30" s="179"/>
      <c r="G30" s="153"/>
    </row>
    <row r="31" spans="1:11" x14ac:dyDescent="0.2">
      <c r="B31" s="22"/>
      <c r="G31" s="153"/>
    </row>
    <row r="32" spans="1:11" x14ac:dyDescent="0.2">
      <c r="B32" s="22"/>
      <c r="G32" s="153"/>
    </row>
    <row r="33" spans="1:1" x14ac:dyDescent="0.2">
      <c r="A33" s="185" t="b">
        <f>+T1.Contacto!B15</f>
        <v>0</v>
      </c>
    </row>
    <row r="34" spans="1:1" x14ac:dyDescent="0.2">
      <c r="A34" s="185" t="b">
        <f>+T1.Contacto!B16</f>
        <v>0</v>
      </c>
    </row>
    <row r="35" spans="1:1" x14ac:dyDescent="0.2">
      <c r="A35" s="185" t="b">
        <f>+T1.Contacto!B17</f>
        <v>0</v>
      </c>
    </row>
    <row r="36" spans="1:1" x14ac:dyDescent="0.2">
      <c r="A36" s="185" t="b">
        <f>+T1.Contacto!B18</f>
        <v>0</v>
      </c>
    </row>
    <row r="37" spans="1:1" x14ac:dyDescent="0.2">
      <c r="A37" s="185" t="b">
        <f>+T1.Contacto!B19</f>
        <v>0</v>
      </c>
    </row>
    <row r="38" spans="1:1" x14ac:dyDescent="0.2">
      <c r="A38" s="185" t="b">
        <f>+T1.Contacto!B20</f>
        <v>0</v>
      </c>
    </row>
    <row r="39" spans="1:1" x14ac:dyDescent="0.2">
      <c r="A39" s="185" t="b">
        <f>+T1.Contacto!B21</f>
        <v>0</v>
      </c>
    </row>
    <row r="40" spans="1:1" x14ac:dyDescent="0.2">
      <c r="A40" s="185" t="b">
        <f>+T1.Contacto!B22</f>
        <v>0</v>
      </c>
    </row>
  </sheetData>
  <mergeCells count="20">
    <mergeCell ref="A1:K1"/>
    <mergeCell ref="A7:A10"/>
    <mergeCell ref="G19:J20"/>
    <mergeCell ref="A3:E3"/>
    <mergeCell ref="A4:E4"/>
    <mergeCell ref="A19:E19"/>
    <mergeCell ref="A12:B12"/>
    <mergeCell ref="A13:B13"/>
    <mergeCell ref="A11:B11"/>
    <mergeCell ref="A17:E17"/>
    <mergeCell ref="G21:J21"/>
    <mergeCell ref="A23:C23"/>
    <mergeCell ref="A27:B27"/>
    <mergeCell ref="A28:B28"/>
    <mergeCell ref="A30:B30"/>
    <mergeCell ref="A29:B29"/>
    <mergeCell ref="A24:B24"/>
    <mergeCell ref="A25:B25"/>
    <mergeCell ref="A26:B26"/>
    <mergeCell ref="A21:E21"/>
  </mergeCells>
  <phoneticPr fontId="1" type="noConversion"/>
  <conditionalFormatting sqref="C7:E7 C24">
    <cfRule type="expression" dxfId="75" priority="10">
      <formula>$A$33=FALSE</formula>
    </cfRule>
  </conditionalFormatting>
  <conditionalFormatting sqref="C8:E8 C25">
    <cfRule type="expression" dxfId="74" priority="9">
      <formula>$A$34=FALSE</formula>
    </cfRule>
  </conditionalFormatting>
  <conditionalFormatting sqref="C9:E9 C26">
    <cfRule type="expression" dxfId="73" priority="8">
      <formula>$A$35=FALSE</formula>
    </cfRule>
  </conditionalFormatting>
  <conditionalFormatting sqref="C10:E10">
    <cfRule type="expression" dxfId="72" priority="7">
      <formula>$E$10="NP"</formula>
    </cfRule>
  </conditionalFormatting>
  <conditionalFormatting sqref="C11:E11 C27">
    <cfRule type="expression" dxfId="71" priority="6">
      <formula>$A$36=FALSE</formula>
    </cfRule>
  </conditionalFormatting>
  <conditionalFormatting sqref="C12:E12 C28">
    <cfRule type="expression" dxfId="70" priority="5">
      <formula>$A$37=FALSE</formula>
    </cfRule>
  </conditionalFormatting>
  <conditionalFormatting sqref="C13:E13">
    <cfRule type="expression" dxfId="69" priority="4">
      <formula>$A$38=FALSE</formula>
    </cfRule>
  </conditionalFormatting>
  <conditionalFormatting sqref="C14:E14 C29">
    <cfRule type="expression" dxfId="68" priority="3">
      <formula>$A$39=FALSE</formula>
    </cfRule>
  </conditionalFormatting>
  <conditionalFormatting sqref="C15:E15 C30">
    <cfRule type="expression" dxfId="67" priority="1">
      <formula>$A$40=FALSE</formula>
    </cfRule>
  </conditionalFormatting>
  <pageMargins left="0.75" right="0.17" top="1" bottom="1" header="0.23" footer="0"/>
  <pageSetup paperSize="9" scale="90" orientation="landscape" r:id="rId1"/>
  <headerFooter alignWithMargins="0"/>
  <cellWatches>
    <cellWatch r="K19"/>
  </cellWatches>
  <ignoredErrors>
    <ignoredError sqref="C10:E10 E7:E9 E11:E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116"/>
  <sheetViews>
    <sheetView showGridLines="0" zoomScale="75" zoomScaleNormal="75" workbookViewId="0">
      <selection activeCell="K14" sqref="K14"/>
    </sheetView>
  </sheetViews>
  <sheetFormatPr baseColWidth="10" defaultRowHeight="15" x14ac:dyDescent="0.25"/>
  <cols>
    <col min="1" max="1" width="5.7109375" style="2" customWidth="1"/>
    <col min="2" max="2" width="51.42578125" style="2" customWidth="1"/>
    <col min="3" max="8" width="11.42578125" style="2" customWidth="1"/>
    <col min="9" max="10" width="11.28515625" style="2" customWidth="1"/>
    <col min="11" max="17" width="11.42578125" style="2" customWidth="1"/>
    <col min="18" max="22" width="9.140625" style="2" customWidth="1"/>
    <col min="23" max="16384" width="11.42578125" style="2"/>
  </cols>
  <sheetData>
    <row r="1" spans="1:22" ht="54.75" customHeight="1" x14ac:dyDescent="0.25">
      <c r="A1" s="422" t="s">
        <v>153</v>
      </c>
      <c r="B1" s="422"/>
      <c r="C1" s="422"/>
      <c r="D1" s="422"/>
      <c r="E1" s="422"/>
      <c r="F1" s="422"/>
      <c r="G1" s="422"/>
      <c r="H1" s="422"/>
      <c r="I1" s="63"/>
      <c r="J1" s="63"/>
      <c r="K1" s="63"/>
      <c r="L1" s="63"/>
      <c r="M1" s="63"/>
      <c r="N1" s="63"/>
      <c r="O1" s="63"/>
      <c r="P1" s="63"/>
      <c r="Q1" s="63"/>
      <c r="R1" s="64"/>
      <c r="S1" s="64"/>
      <c r="T1" s="64"/>
      <c r="U1" s="64"/>
      <c r="V1" s="64"/>
    </row>
    <row r="2" spans="1:22" s="57" customFormat="1" x14ac:dyDescent="0.25">
      <c r="A2" s="65"/>
      <c r="B2" s="65"/>
      <c r="C2" s="65"/>
      <c r="D2" s="65"/>
      <c r="E2" s="65"/>
      <c r="F2" s="65"/>
      <c r="G2" s="65"/>
      <c r="H2" s="65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5.75" customHeight="1" x14ac:dyDescent="0.3">
      <c r="A3" s="423" t="s">
        <v>22</v>
      </c>
      <c r="B3" s="423"/>
      <c r="C3" s="423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  <c r="T3" s="70"/>
      <c r="U3" s="70"/>
      <c r="V3" s="70"/>
    </row>
    <row r="4" spans="1:22" ht="10.5" customHeight="1" x14ac:dyDescent="0.25">
      <c r="A4" s="71"/>
      <c r="B4" s="71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/>
      <c r="T4" s="70"/>
      <c r="U4" s="70"/>
      <c r="V4" s="70"/>
    </row>
    <row r="5" spans="1:22" s="57" customFormat="1" ht="15.75" x14ac:dyDescent="0.25">
      <c r="A5" s="354" t="s">
        <v>117</v>
      </c>
      <c r="B5" s="355"/>
      <c r="C5" s="356"/>
      <c r="D5" s="356"/>
      <c r="E5" s="356"/>
      <c r="F5" s="356"/>
      <c r="G5" s="356"/>
      <c r="H5" s="356"/>
      <c r="I5" s="357"/>
      <c r="J5" s="358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 s="57" customFormat="1" ht="15.75" thickBot="1" x14ac:dyDescent="0.3">
      <c r="A6" s="7"/>
      <c r="B6" s="76"/>
      <c r="C6" s="76"/>
      <c r="D6" s="76"/>
      <c r="E6" s="76"/>
      <c r="F6" s="76"/>
      <c r="G6" s="76"/>
      <c r="H6" s="76"/>
      <c r="I6" s="76"/>
      <c r="J6" s="1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ht="15.75" thickBot="1" x14ac:dyDescent="0.3">
      <c r="B7" s="77"/>
      <c r="C7" s="430" t="s">
        <v>80</v>
      </c>
      <c r="D7" s="431"/>
      <c r="E7" s="432"/>
      <c r="F7" s="433" t="s">
        <v>9</v>
      </c>
      <c r="G7" s="431"/>
      <c r="H7" s="432"/>
      <c r="K7" s="146"/>
    </row>
    <row r="8" spans="1:22" ht="15.75" thickBot="1" x14ac:dyDescent="0.3">
      <c r="A8" s="438" t="s">
        <v>102</v>
      </c>
      <c r="B8" s="439"/>
      <c r="C8" s="101" t="s">
        <v>82</v>
      </c>
      <c r="D8" s="101" t="s">
        <v>83</v>
      </c>
      <c r="E8" s="103" t="s">
        <v>3</v>
      </c>
      <c r="F8" s="102" t="s">
        <v>82</v>
      </c>
      <c r="G8" s="103" t="s">
        <v>83</v>
      </c>
      <c r="H8" s="102" t="s">
        <v>3</v>
      </c>
      <c r="K8" s="158"/>
    </row>
    <row r="9" spans="1:22" x14ac:dyDescent="0.25">
      <c r="A9" s="124"/>
      <c r="B9" s="143" t="s">
        <v>0</v>
      </c>
      <c r="C9" s="145" t="s">
        <v>54</v>
      </c>
      <c r="D9" s="204"/>
      <c r="E9" s="205" t="str">
        <f>IF(B109=FALSE,"NP",IF(OR(C9="NDD",D9="NDD",C9="",D9=""),"NDD",SUM(C9:D9)))</f>
        <v>NP</v>
      </c>
      <c r="F9" s="106" t="s">
        <v>54</v>
      </c>
      <c r="G9" s="204"/>
      <c r="H9" s="207" t="str">
        <f>IF($B$109=FALSE,"NP",IF(OR(F9="NDD",G9="NDD",F9="",G9=""),"NDD",SUM(F9:G9)))</f>
        <v>NP</v>
      </c>
      <c r="I9" s="171"/>
      <c r="J9" s="171" t="str">
        <f>IFERROR(IF(OR($B$109=FALSE,E9="NDD",H9="NDD"),"",IF(AND(D9=0,G9=0),"OK",IF(OR(G9/D9&gt;10,G9/D9&lt;1),"Error!!!","OK"))),"Error!!!")</f>
        <v/>
      </c>
    </row>
    <row r="10" spans="1:22" x14ac:dyDescent="0.25">
      <c r="A10" s="124"/>
      <c r="B10" s="143" t="s">
        <v>1</v>
      </c>
      <c r="C10" s="145" t="s">
        <v>54</v>
      </c>
      <c r="D10" s="204"/>
      <c r="E10" s="205" t="str">
        <f>IF(B109=FALSE,"NP",IF(OR(C10="NDD",D10="NDD",C10="",D10=""),"NDD",SUM(C10:D10)))</f>
        <v>NP</v>
      </c>
      <c r="F10" s="106" t="s">
        <v>54</v>
      </c>
      <c r="G10" s="204"/>
      <c r="H10" s="207" t="str">
        <f>IF($B$109=FALSE,"NP",IF(OR(F10="NDD",G10="NDD",F10="",G10=""),"NDD",SUM(F10:G10)))</f>
        <v>NP</v>
      </c>
      <c r="I10" s="171"/>
      <c r="J10" s="171" t="str">
        <f>IFERROR(IF(OR($B$109=FALSE,E10="NDD",H10="NDD"),"",IF(AND(D10=0,G10=0),"OK",IF(OR(G10/D10&gt;100,G10/D10&lt;10),"Error!!!","OK"))),"Error!!!")</f>
        <v/>
      </c>
    </row>
    <row r="11" spans="1:22" ht="15.75" thickBot="1" x14ac:dyDescent="0.3">
      <c r="A11" s="124"/>
      <c r="B11" s="143" t="s">
        <v>2</v>
      </c>
      <c r="C11" s="145" t="s">
        <v>54</v>
      </c>
      <c r="D11" s="204"/>
      <c r="E11" s="205" t="str">
        <f>IF(B109=FALSE,"NP",IF(OR(C11="NDD",D11="NDD",C11="",D11=""),"NDD",SUM(C11:D11)))</f>
        <v>NP</v>
      </c>
      <c r="F11" s="106" t="s">
        <v>54</v>
      </c>
      <c r="G11" s="204"/>
      <c r="H11" s="207" t="str">
        <f>IF($B$109=FALSE,"NP",IF(OR(F11="NDD",G11="NDD",F11="",G11=""),"NDD",SUM(F11:G11)))</f>
        <v>NP</v>
      </c>
      <c r="I11" s="171"/>
      <c r="J11" s="171" t="str">
        <f>IFERROR(IF(OR($B$109=FALSE,E11="NDD",H11="NDD"),"",IF(AND(G11=0,D11=0),"OK",IF(G11/D11&lt;100,"Error!!!","OK"))),"Error!!!")</f>
        <v/>
      </c>
    </row>
    <row r="12" spans="1:22" ht="15.75" thickBot="1" x14ac:dyDescent="0.3">
      <c r="A12" s="125"/>
      <c r="B12" s="138" t="s">
        <v>109</v>
      </c>
      <c r="C12" s="136" t="str">
        <f>IF($B$109=FALSE,"NP",IF(OR(COUNTIF($C$9:$C$11,"NDD"),COUNTBLANK($C$9:$C$11))=TRUE,"NDD",SUM($C$9:$C$11)))</f>
        <v>NP</v>
      </c>
      <c r="D12" s="206" t="str">
        <f>IF($B$109=FALSE,"NP",IF(OR(COUNTIF($D$9:$D$11,"NDD"),COUNTBLANK($D$9:$D$11))=TRUE,"NDD",SUM($D$9:$D$11)))</f>
        <v>NP</v>
      </c>
      <c r="E12" s="206" t="str">
        <f xml:space="preserve"> IF(B109=FALSE,"NP",IF(COUNTIF(C12:D12,"NDD")&gt;0,"NDD",SUM(C12:D12)))</f>
        <v>NP</v>
      </c>
      <c r="F12" s="136" t="str">
        <f>IF($B$109=FALSE,"NP",IF(OR(COUNTIF($G$9:$G$11,"NDD"),COUNTBLANK($G$9:$G$11))=TRUE,"NDD",SUM($G$9:$G$11)))</f>
        <v>NP</v>
      </c>
      <c r="G12" s="206" t="str">
        <f>IF($B$109=FALSE,"NP",IF(OR(COUNTIF($G$9:$G$11,"NDD"),COUNTBLANK($G$9:$G$11))=TRUE,"NDD",SUM($G$9:$G$11)))</f>
        <v>NP</v>
      </c>
      <c r="H12" s="208" t="str">
        <f xml:space="preserve"> IF($B$109=FALSE,"NP",IF(COUNTIF(F12:G12,"NDD")&gt;0,"NDD",SUM(F12:G12)))</f>
        <v>NP</v>
      </c>
      <c r="I12" s="171"/>
      <c r="J12" s="171"/>
    </row>
    <row r="13" spans="1:22" ht="7.5" customHeight="1" x14ac:dyDescent="0.25">
      <c r="I13" s="171"/>
      <c r="J13" s="171"/>
    </row>
    <row r="14" spans="1:22" x14ac:dyDescent="0.25">
      <c r="B14" s="2" t="str">
        <f>IF($B$109=FALSE,"",IF(COUNTIF(I9:J11,"Error!!!")&gt;0,"Revise las celdas en amarillo ya que el promedio de barriles por derrame está fuera del rango de interés",""))</f>
        <v/>
      </c>
      <c r="I14" s="171"/>
      <c r="J14" s="171"/>
    </row>
    <row r="15" spans="1:22" hidden="1" x14ac:dyDescent="0.25">
      <c r="B15" s="2" t="str">
        <f>IF($B$109=FALSE,"",IF((COUNTBLANK(C9:D11)+COUNTBLANK(F9:G11))&gt;0,"Aún existen celdas vacías, favor coloque un valor. En el caso de no existir los datos solicitados escriba NDD en la casilla correspondiente",""))</f>
        <v/>
      </c>
      <c r="I15" s="181"/>
      <c r="J15" s="171"/>
    </row>
    <row r="16" spans="1:22" ht="15.75" thickBot="1" x14ac:dyDescent="0.3">
      <c r="I16" s="171"/>
      <c r="J16" s="171"/>
    </row>
    <row r="17" spans="1:10" ht="15.75" thickBot="1" x14ac:dyDescent="0.3">
      <c r="B17" s="77"/>
      <c r="C17" s="430" t="s">
        <v>80</v>
      </c>
      <c r="D17" s="431"/>
      <c r="E17" s="432"/>
      <c r="F17" s="433" t="s">
        <v>9</v>
      </c>
      <c r="G17" s="431"/>
      <c r="H17" s="432"/>
      <c r="I17" s="171"/>
      <c r="J17" s="171"/>
    </row>
    <row r="18" spans="1:10" ht="15.75" thickBot="1" x14ac:dyDescent="0.3">
      <c r="A18" s="438" t="s">
        <v>103</v>
      </c>
      <c r="B18" s="439"/>
      <c r="C18" s="113" t="s">
        <v>82</v>
      </c>
      <c r="D18" s="101" t="s">
        <v>83</v>
      </c>
      <c r="E18" s="103" t="s">
        <v>3</v>
      </c>
      <c r="F18" s="102" t="s">
        <v>82</v>
      </c>
      <c r="G18" s="103" t="s">
        <v>83</v>
      </c>
      <c r="H18" s="102" t="s">
        <v>3</v>
      </c>
      <c r="I18" s="171"/>
      <c r="J18" s="171"/>
    </row>
    <row r="19" spans="1:10" x14ac:dyDescent="0.25">
      <c r="A19" s="124"/>
      <c r="B19" s="143" t="s">
        <v>0</v>
      </c>
      <c r="C19" s="209"/>
      <c r="D19" s="204"/>
      <c r="E19" s="205" t="str">
        <f>IF($B$110=FALSE,"NP",IF(OR(C19="NDD",D19="NDD",C19="",D19=""),"NDD",SUM(C19:D19)))</f>
        <v>NP</v>
      </c>
      <c r="F19" s="204"/>
      <c r="G19" s="204"/>
      <c r="H19" s="207" t="str">
        <f>IF($B$110=FALSE,"NP",IF(OR(F19="NDD",G19="NDD",F19="",G19=""),"NDD",SUM(F19:G19)))</f>
        <v>NP</v>
      </c>
      <c r="I19" s="171" t="str">
        <f>IFERROR(IF(OR($B$110=FALSE,C19="NDD",C19="",F19="NDD",F19=""),"",IF(AND(C19=0,F19=0),"OK",IF(OR(F19/C19&gt;10,F19/C19&lt;1),"Error!!!","OK"))),"Error!!!")</f>
        <v/>
      </c>
      <c r="J19" s="171" t="str">
        <f>IFERROR(IF(OR($B$110=FALSE,D19="NDD",D19="",G19="NDD",G19=""),"",IF(AND(D19=0,G19=0),"OK",IF(OR(G19/D19&gt;10,G19/D19&lt;1),"Error!!!","OK"))),"Error!!!")</f>
        <v/>
      </c>
    </row>
    <row r="20" spans="1:10" x14ac:dyDescent="0.25">
      <c r="A20" s="124"/>
      <c r="B20" s="143" t="s">
        <v>1</v>
      </c>
      <c r="C20" s="209"/>
      <c r="D20" s="204"/>
      <c r="E20" s="205" t="str">
        <f>IF($B$110=FALSE,"NP",IF(OR(C20="NDD",D20="NDD",C20="",D20=""),"NDD",SUM(C20:D20)))</f>
        <v>NP</v>
      </c>
      <c r="F20" s="204"/>
      <c r="G20" s="204"/>
      <c r="H20" s="207" t="str">
        <f>IF($B$110=FALSE,"NP",IF(OR(F20="NDD",G20="NDD",F20="",G20=""),"NDD",SUM(F20:G20)))</f>
        <v>NP</v>
      </c>
      <c r="I20" s="171" t="str">
        <f>IFERROR(IF(OR($B$110=FALSE,C20="NDD",C20="",F20="NDD",F20=""),"",IF(AND(C20=0,F20=0),"OK",IF(OR(F20/C20&gt;100,F20/C20&lt;10),"Error!!!","OK"))),"Error!!!")</f>
        <v/>
      </c>
      <c r="J20" s="171" t="str">
        <f>IFERROR(IF(OR($B$110=FALSE,D20="NDD",D20="",G20="NDD",G20=""),"",IF(AND(D20=0,G20=0),"OK",IF(OR(G20/D20&gt;100,G20/D20&lt;10),"Error!!!","OK"))),"Error!!!")</f>
        <v/>
      </c>
    </row>
    <row r="21" spans="1:10" ht="15.75" thickBot="1" x14ac:dyDescent="0.3">
      <c r="A21" s="124"/>
      <c r="B21" s="143" t="s">
        <v>2</v>
      </c>
      <c r="C21" s="209"/>
      <c r="D21" s="204"/>
      <c r="E21" s="205" t="str">
        <f>IF($B$110=FALSE,"NP",IF(OR(C21="NDD",D21="NDD",C21="",D21=""),"NDD",SUM(C21:D21)))</f>
        <v>NP</v>
      </c>
      <c r="F21" s="204"/>
      <c r="G21" s="204"/>
      <c r="H21" s="207" t="str">
        <f>IF($B$110=FALSE,"NP",IF(OR(F21="NDD",G21="NDD",F21="",G21=""),"NDD",SUM(F21:G21)))</f>
        <v>NP</v>
      </c>
      <c r="I21" s="171" t="str">
        <f>IFERROR(IF(OR($B$110=FALSE,C21="NDD",C21="",F21="NDD",F21=""),"",IF(AND(F21=0,C21=0),"OK",IF(F21/C21&lt;100,"Error!!!","OK"))),"Error!!!")</f>
        <v/>
      </c>
      <c r="J21" s="171" t="str">
        <f>IFERROR(IF(OR($B$110=FALSE,D21="NDD",D21="",G21="NDD",G21=""),"",IF(AND(G21=0,D21=0),"OK",IF(G21/D21&lt;100,"Error!!!","OK"))),"Error!!!")</f>
        <v/>
      </c>
    </row>
    <row r="22" spans="1:10" ht="15.75" thickBot="1" x14ac:dyDescent="0.3">
      <c r="A22" s="125"/>
      <c r="B22" s="138" t="s">
        <v>110</v>
      </c>
      <c r="C22" s="210" t="str">
        <f>IF($B$110=FALSE,"NP",IF(OR(COUNTIF($C$19:$C$21,"NDD"),COUNTBLANK($C$19:$C$21))=TRUE,"NDD",SUM($C$19:$C$21)))</f>
        <v>NP</v>
      </c>
      <c r="D22" s="206" t="str">
        <f>IF($B$110=FALSE,"NP",IF(OR(COUNTIF($D$19:$D$21,"NDD"),COUNTBLANK($D$19:$D$21))=TRUE,"NDD",SUM($D$19:$D$21)))</f>
        <v>NP</v>
      </c>
      <c r="E22" s="206" t="str">
        <f xml:space="preserve"> IF($B$110=FALSE,"NP",IF(COUNTIF(C22:D22,"NDD")&gt;0,"NDD",SUM(C22:D22)))</f>
        <v>NP</v>
      </c>
      <c r="F22" s="206" t="str">
        <f>IF($B$110=FALSE,"NP",IF(OR(COUNTIF($F$19:$F$21,"NDD"),COUNTBLANK($F$19:$F$21))=TRUE,"NDD",SUM($F$19:$F$21)))</f>
        <v>NP</v>
      </c>
      <c r="G22" s="206" t="str">
        <f>IF($B$110=FALSE,"NP",IF(OR(COUNTIF($G$19:$G$21,"NDD"),COUNTBLANK($G$19:$G$21))=TRUE,"NDD",SUM($G$19:$G$21)))</f>
        <v>NP</v>
      </c>
      <c r="H22" s="208" t="str">
        <f xml:space="preserve"> IF($B$110=FALSE,"NP",IF(COUNTIF(F22:G22,"NDD")&gt;0,"NDD",SUM(F22:G22)))</f>
        <v>NP</v>
      </c>
      <c r="I22" s="171"/>
      <c r="J22" s="171"/>
    </row>
    <row r="23" spans="1:10" ht="7.5" customHeight="1" x14ac:dyDescent="0.25">
      <c r="I23" s="171"/>
      <c r="J23" s="171"/>
    </row>
    <row r="24" spans="1:10" x14ac:dyDescent="0.25">
      <c r="B24" s="2" t="str">
        <f>IF($B$110=FALSE,"",IF(COUNTIF(I19:J21,"Error!!!")&gt;0,"Revise las celdas en amarillo ya que el promedio de barriles por derrame está fuera del rango de interés",""))</f>
        <v/>
      </c>
      <c r="I24" s="171"/>
      <c r="J24" s="171"/>
    </row>
    <row r="25" spans="1:10" hidden="1" x14ac:dyDescent="0.25">
      <c r="B25" s="2" t="str">
        <f>IF($B$110=FALSE,"",IF((COUNTBLANK(C19:D21)+COUNTBLANK(F19:G21))&gt;0,"Aún existen celdas vacías, favor coloque un valor. En el caso de no existir los datos solicitados escriba NDD en la casilla correspondiente",""))</f>
        <v/>
      </c>
      <c r="I25" s="171"/>
      <c r="J25" s="171"/>
    </row>
    <row r="26" spans="1:10" ht="15.75" thickBot="1" x14ac:dyDescent="0.3">
      <c r="I26" s="171"/>
      <c r="J26" s="171"/>
    </row>
    <row r="27" spans="1:10" ht="15.75" thickBot="1" x14ac:dyDescent="0.3">
      <c r="B27" s="77"/>
      <c r="C27" s="430" t="s">
        <v>80</v>
      </c>
      <c r="D27" s="431"/>
      <c r="E27" s="432"/>
      <c r="F27" s="433" t="s">
        <v>9</v>
      </c>
      <c r="G27" s="431"/>
      <c r="H27" s="432"/>
      <c r="I27" s="171"/>
      <c r="J27" s="171"/>
    </row>
    <row r="28" spans="1:10" ht="15" customHeight="1" thickBot="1" x14ac:dyDescent="0.3">
      <c r="A28" s="438" t="s">
        <v>111</v>
      </c>
      <c r="B28" s="439"/>
      <c r="C28" s="113" t="s">
        <v>82</v>
      </c>
      <c r="D28" s="101" t="s">
        <v>83</v>
      </c>
      <c r="E28" s="103" t="s">
        <v>3</v>
      </c>
      <c r="F28" s="102" t="s">
        <v>82</v>
      </c>
      <c r="G28" s="103" t="s">
        <v>83</v>
      </c>
      <c r="H28" s="102" t="s">
        <v>3</v>
      </c>
      <c r="I28" s="171"/>
      <c r="J28" s="171"/>
    </row>
    <row r="29" spans="1:10" ht="15.75" customHeight="1" x14ac:dyDescent="0.25">
      <c r="A29" s="124"/>
      <c r="B29" s="143" t="s">
        <v>0</v>
      </c>
      <c r="C29" s="209"/>
      <c r="D29" s="204"/>
      <c r="E29" s="205" t="str">
        <f>IF($B$111=FALSE,"NP",IF(OR(C29="NDD",D29="NDD",C29="",D29=""),"NDD",SUM(C29:D29)))</f>
        <v>NP</v>
      </c>
      <c r="F29" s="204"/>
      <c r="G29" s="204"/>
      <c r="H29" s="207" t="str">
        <f>IF($B$111=FALSE,"NP",IF(OR(F29="NDD",G29="NDD",F29="",G29=""),"NDD",SUM(F29:G29)))</f>
        <v>NP</v>
      </c>
      <c r="I29" s="171" t="str">
        <f>IFERROR(IF(OR($B$111=FALSE,C29="NDD",C29="",F29="NDD",F29=""),"",IF(AND(C29=0,F29=0),"OK",IF(OR(F29/C29&gt;10,F29/C29&lt;1),"Error!!!","OK"))),"Error!!!")</f>
        <v/>
      </c>
      <c r="J29" s="171" t="str">
        <f>IFERROR(IF(OR($B$111=FALSE,D29="NDD",D29="",G29="NDD",G29=""),"",IF(AND(D29=0,G29=0),"OK",IF(OR(G29/D29&gt;10,G29/D29&lt;1),"Error!!!","OK"))),"Error!!!")</f>
        <v/>
      </c>
    </row>
    <row r="30" spans="1:10" x14ac:dyDescent="0.25">
      <c r="A30" s="124"/>
      <c r="B30" s="143" t="s">
        <v>1</v>
      </c>
      <c r="C30" s="209"/>
      <c r="D30" s="204"/>
      <c r="E30" s="205" t="str">
        <f>IF($B$111=FALSE,"NP",IF(OR(C30="NDD",D30="NDD",C30="",D30=""),"NDD",SUM(C30:D30)))</f>
        <v>NP</v>
      </c>
      <c r="F30" s="204"/>
      <c r="G30" s="204"/>
      <c r="H30" s="207" t="str">
        <f>IF($B$111=FALSE,"NP",IF(OR(F30="NDD",G30="NDD",F30="",G30=""),"NDD",SUM(F30:G30)))</f>
        <v>NP</v>
      </c>
      <c r="I30" s="171" t="str">
        <f>IFERROR(IF(OR($B$111=FALSE,C30="NDD",C30="",F30="NDD",F30=""),"",IF(AND(C30=0,F30=0),"OK",IF(OR(F30/C30&gt;100,F30/C30&lt;10),"Error!!!","OK"))),"Error!!!")</f>
        <v/>
      </c>
      <c r="J30" s="171" t="str">
        <f>IFERROR(IF(OR($B$111=FALSE,D30="NDD",D30="",G30="NDD",G30=""),"",IF(AND(D30=0,G30=0),"OK",IF(OR(G30/D30&gt;100,G30/D30&lt;10),"Error!!!","OK"))),"Error!!!")</f>
        <v/>
      </c>
    </row>
    <row r="31" spans="1:10" ht="15.75" thickBot="1" x14ac:dyDescent="0.3">
      <c r="A31" s="124"/>
      <c r="B31" s="143" t="s">
        <v>2</v>
      </c>
      <c r="C31" s="209"/>
      <c r="D31" s="204"/>
      <c r="E31" s="205" t="str">
        <f>IF($B$111=FALSE,"NP",IF(OR(C31="NDD",D31="NDD",C31="",D31=""),"NDD",SUM(C31:D31)))</f>
        <v>NP</v>
      </c>
      <c r="F31" s="204"/>
      <c r="G31" s="204"/>
      <c r="H31" s="207" t="str">
        <f>IF($B$111=FALSE,"NP",IF(OR(F31="NDD",G31="NDD",F31="",G31=""),"NDD",SUM(F31:G31)))</f>
        <v>NP</v>
      </c>
      <c r="I31" s="171" t="str">
        <f>IFERROR(IF(OR($B$111=FALSE,C31="NDD",C31="",F31="NDD",F31=""),"",IF(AND(F31=0,C31=0),"OK",IF(F31/C31&lt;100,"Error!!!","OK"))),"Error!!!")</f>
        <v/>
      </c>
      <c r="J31" s="171" t="str">
        <f>IFERROR(IF(OR($B$111=FALSE,D31="NDD",D31="",G31="NDD",G31=""),"",IF(AND(G31=0,D31=0),"OK",IF(G31/D31&lt;100,"Error!!!","OK"))),"Error!!!")</f>
        <v/>
      </c>
    </row>
    <row r="32" spans="1:10" ht="15.75" thickBot="1" x14ac:dyDescent="0.3">
      <c r="A32" s="125"/>
      <c r="B32" s="138" t="s">
        <v>118</v>
      </c>
      <c r="C32" s="210" t="str">
        <f>IF($B$111=FALSE,"NP",IF(OR(COUNTIF($C$29:$C$31,"NDD"),COUNTBLANK($C$29:$C$31))=TRUE,"NDD",SUM($C$29:$C$31)))</f>
        <v>NP</v>
      </c>
      <c r="D32" s="206" t="str">
        <f>IF($B$111=FALSE,"NP",IF(OR(COUNTIF($D$29:$D$31,"NDD"),COUNTBLANK($D$29:$D$31))=TRUE,"NDD",SUM($D$29:$D$31)))</f>
        <v>NP</v>
      </c>
      <c r="E32" s="206" t="str">
        <f xml:space="preserve"> IF($B$111=FALSE,"NP",IF(COUNTIF(C32:D32,"NDD")&gt;0,"NDD",SUM(C32:D32)))</f>
        <v>NP</v>
      </c>
      <c r="F32" s="206" t="str">
        <f>IF($B$111=FALSE,"NP",IF(OR(COUNTIF($F$29:$F$31,"NDD"),COUNTBLANK($F$29:$F$31))=TRUE,"NDD",SUM($F$29:$F$31)))</f>
        <v>NP</v>
      </c>
      <c r="G32" s="206" t="str">
        <f>IF($B$111=FALSE,"NP",IF(OR(COUNTIF($G$29:$G$31,"NDD"),COUNTBLANK($G$29:$G$31))=TRUE,"NDD",SUM($G$29:$G$31)))</f>
        <v>NP</v>
      </c>
      <c r="H32" s="208" t="str">
        <f xml:space="preserve"> IF($B$111=FALSE,"NP",IF(COUNTIF(F32:G32,"NDD")&gt;0,"NDD",SUM(F32:G32)))</f>
        <v>NP</v>
      </c>
      <c r="I32" s="171"/>
      <c r="J32" s="171"/>
    </row>
    <row r="33" spans="1:10" ht="7.5" customHeight="1" x14ac:dyDescent="0.25">
      <c r="I33" s="171"/>
      <c r="J33" s="171"/>
    </row>
    <row r="34" spans="1:10" x14ac:dyDescent="0.25">
      <c r="B34" s="2" t="str">
        <f>IF($B$111=FALSE,"",IF(COUNTIF(I29:J31,"Error!!!")&gt;0,"Revise las celdas en amarillo ya que el promedio de barriles por derrame está fuera del rango de interés",""))</f>
        <v/>
      </c>
      <c r="I34" s="171"/>
      <c r="J34" s="171"/>
    </row>
    <row r="35" spans="1:10" hidden="1" x14ac:dyDescent="0.25">
      <c r="B35" s="2" t="str">
        <f>IF($B$111=FALSE,"",IF((COUNTBLANK(C29:D31)+COUNTBLANK(F29:G31))&gt;0,"Aún existen celdas vacías, favor coloque un valor. En el caso de no existir los datos solicitados escriba NDD en la casilla correspondiente",""))</f>
        <v/>
      </c>
      <c r="I35" s="171"/>
      <c r="J35" s="171"/>
    </row>
    <row r="36" spans="1:10" ht="15.75" thickBot="1" x14ac:dyDescent="0.3">
      <c r="I36" s="171"/>
      <c r="J36" s="171"/>
    </row>
    <row r="37" spans="1:10" ht="15.75" thickBot="1" x14ac:dyDescent="0.3">
      <c r="B37" s="77"/>
      <c r="C37" s="434" t="s">
        <v>80</v>
      </c>
      <c r="D37" s="435"/>
      <c r="E37" s="436"/>
      <c r="F37" s="437" t="s">
        <v>9</v>
      </c>
      <c r="G37" s="435"/>
      <c r="H37" s="436"/>
      <c r="I37" s="171"/>
      <c r="J37" s="171"/>
    </row>
    <row r="38" spans="1:10" ht="15.75" thickBot="1" x14ac:dyDescent="0.3">
      <c r="A38" s="450" t="s">
        <v>41</v>
      </c>
      <c r="B38" s="451"/>
      <c r="C38" s="174" t="s">
        <v>82</v>
      </c>
      <c r="D38" s="104" t="s">
        <v>83</v>
      </c>
      <c r="E38" s="104" t="s">
        <v>3</v>
      </c>
      <c r="F38" s="104" t="s">
        <v>82</v>
      </c>
      <c r="G38" s="104" t="s">
        <v>83</v>
      </c>
      <c r="H38" s="105" t="s">
        <v>3</v>
      </c>
      <c r="I38" s="171"/>
      <c r="J38" s="171"/>
    </row>
    <row r="39" spans="1:10" x14ac:dyDescent="0.25">
      <c r="A39" s="126"/>
      <c r="B39" s="144" t="s">
        <v>0</v>
      </c>
      <c r="C39" s="211" t="str">
        <f>IF(C19="","NDD",+C19)</f>
        <v>NDD</v>
      </c>
      <c r="D39" s="212" t="str">
        <f>IF(AND(D19="",D9=""),"NDD",IF(AND(OR(D19="",D9=""),$B$109=TRUE,$B$110=TRUE),"NDD",IF(OR(D19="NDD",D19="NDD"),"NDD",+D19+D9)))</f>
        <v>NDD</v>
      </c>
      <c r="E39" s="205" t="str">
        <f>IF(AND($B$109=FALSE,$B$110=FALSE),"NP",IF(OR(C39="NDD",D39="NDD",C39="",D39=""),"NDD",SUM(C39:D39)))</f>
        <v>NP</v>
      </c>
      <c r="F39" s="212" t="str">
        <f>IF(F19="","NDD",+F19)</f>
        <v>NDD</v>
      </c>
      <c r="G39" s="212" t="str">
        <f>IF(AND(G19="",G9=""),"NDD",IF(AND(OR(G19="",G9=""),$B$109=TRUE,$B$110=TRUE),"NDD",IF(OR(G19="NDD",G19="NDD"),"NDD",+G19+G9)))</f>
        <v>NDD</v>
      </c>
      <c r="H39" s="207" t="str">
        <f>IF(AND($B$109=FALSE,$B$110=FALSE),"NP",IF(OR(F39="NDD",G39="NDD",F39="",G39=""),"NDD",SUM(F39:G39)))</f>
        <v>NP</v>
      </c>
      <c r="I39" s="171" t="str">
        <f>IFERROR(IF(OR(E39="NP",E39="NDD",H39="NDD"),"",IF(AND(C39=0,F39=0),"OK",IF(OR(F39/C39&gt;10,F39/C39&lt;1),"Error!!!","OK"))),"Error!!!")</f>
        <v/>
      </c>
      <c r="J39" s="171" t="str">
        <f>IFERROR(IF(OR(E39="NP",E39="NDD",H39="NDD"),"",IF(AND(D39=0,G39=0),"OK",IF(OR(G39/D39&gt;10,G39/D39&lt;1),"Error!!!","OK"))),"Error!!!")</f>
        <v/>
      </c>
    </row>
    <row r="40" spans="1:10" ht="15" customHeight="1" x14ac:dyDescent="0.25">
      <c r="A40" s="126"/>
      <c r="B40" s="144" t="s">
        <v>1</v>
      </c>
      <c r="C40" s="211" t="str">
        <f>IF(C20="","NDD",+C20)</f>
        <v>NDD</v>
      </c>
      <c r="D40" s="212" t="str">
        <f>IF(AND(D20="",D10=""),"NDD",IF(AND(OR(D20="",D10=""),$B$109=TRUE,$B$110=TRUE),"NDD",IF(OR(D20="NDD",D20="NDD"),"NDD",+D20+D10)))</f>
        <v>NDD</v>
      </c>
      <c r="E40" s="205" t="str">
        <f>IF(AND($B$109=FALSE,$B$110=FALSE),"NP",IF(OR(C40="NDD",D40="NDD",C40="",D40=""),"NDD",SUM(C40:D40)))</f>
        <v>NP</v>
      </c>
      <c r="F40" s="212" t="str">
        <f>IF(F20="","NDD",+F20)</f>
        <v>NDD</v>
      </c>
      <c r="G40" s="212" t="str">
        <f>IF(AND(G20="",G10=""),"NDD",IF(AND(OR(G20="",G10=""),$B$109=TRUE,$B$110=TRUE),"NDD",IF(OR(G20="NDD",G20="NDD"),"NDD",+G20+G10)))</f>
        <v>NDD</v>
      </c>
      <c r="H40" s="207" t="str">
        <f>IF(AND($B$109=FALSE,$B$110=FALSE),"NP",IF(OR(F40="NDD",G40="NDD",F40="",G40=""),"NDD",SUM(F40:G40)))</f>
        <v>NP</v>
      </c>
      <c r="I40" s="171" t="str">
        <f>IFERROR(IF(OR(E40="NP",E40="NDD",H40="NDD"),"",IF(AND(C40=0,F40=0),"OK",IF(OR(F40/C40&gt;100,F40/C40&lt;10),"Error!!!","OK"))),"Error!!!")</f>
        <v/>
      </c>
      <c r="J40" s="171" t="str">
        <f>IFERROR(IF(OR(E40="NP",E40="NDD",H40="NDD"),"",IF(AND(D40=0,G40=0),"OK",IF(OR(G40/D40&gt;100,G40/D40&lt;10),"Error!!!","OK"))),"Error!!!")</f>
        <v/>
      </c>
    </row>
    <row r="41" spans="1:10" ht="15.75" thickBot="1" x14ac:dyDescent="0.3">
      <c r="A41" s="126"/>
      <c r="B41" s="144" t="s">
        <v>2</v>
      </c>
      <c r="C41" s="211" t="str">
        <f>IF(C21="","NDD",+C21)</f>
        <v>NDD</v>
      </c>
      <c r="D41" s="212" t="str">
        <f>IF(AND(D21="",D11=""),"NDD",IF(AND(OR(D21="",D11=""),$B$109=TRUE,$B$110=TRUE),"NDD",IF(OR(D21="NDD",D21="NDD"),"NDD",+D21+D11)))</f>
        <v>NDD</v>
      </c>
      <c r="E41" s="205" t="str">
        <f>IF(AND($B$109=FALSE,$B$110=FALSE),"NP",IF(OR(C41="NDD",D41="NDD",C41="",D41=""),"NDD",SUM(C41:D41)))</f>
        <v>NP</v>
      </c>
      <c r="F41" s="212" t="str">
        <f>IF(F21="","NDD",+F21)</f>
        <v>NDD</v>
      </c>
      <c r="G41" s="212" t="str">
        <f>IF(AND(G21="",G11=""),"NDD",IF(AND(OR(G21="",G11=""),$B$109=TRUE,$B$110=TRUE),"NDD",IF(OR(G21="NDD",G21="NDD"),"NDD",+G21+G11)))</f>
        <v>NDD</v>
      </c>
      <c r="H41" s="207" t="str">
        <f>IF(AND($B$109=FALSE,$B$110=FALSE),"NP",IF(OR(F41="NDD",G41="NDD",F41="",G41=""),"NDD",SUM(F41:G41)))</f>
        <v>NP</v>
      </c>
      <c r="I41" s="171" t="str">
        <f>IFERROR(IF(OR(E41="NP",E41="NDD",H41="NDD"),"",IF(AND(F41=0,C41=0),"OK",IF(F41/C41&lt;100,"Error!!!","OK"))),"Error!!!")</f>
        <v/>
      </c>
      <c r="J41" s="171" t="str">
        <f>IFERROR(IF(OR(E41="NP",E41="NDD",H41="NDD"),"",IF(AND(G41=0,D41=0),"OK",IF(G41/D41&lt;100,"Error!!!","OK"))),"Error!!!")</f>
        <v/>
      </c>
    </row>
    <row r="42" spans="1:10" ht="15.75" thickBot="1" x14ac:dyDescent="0.3">
      <c r="A42" s="127"/>
      <c r="B42" s="138" t="s">
        <v>112</v>
      </c>
      <c r="C42" s="210" t="str">
        <f xml:space="preserve"> IF(AND($B$109=FALSE,$B$110=FALSE),"NP",IF(OR(COUNTBLANK(C39:C41)&gt;0,COUNTIF(C39:C41,"")&gt;0,COUNTIF(C39:C41,"NDD")&gt;0),"NDD",SUM(C39:C41)))</f>
        <v>NP</v>
      </c>
      <c r="D42" s="206" t="str">
        <f xml:space="preserve"> IF(AND($B$109=FALSE,$B$110=FALSE),"NP",IF(OR(COUNTBLANK(D39:D41)&gt;0,COUNTIF(D39:D41,"")&gt;0,COUNTIF(D39:D41,"NDD")&gt;0),"NDD",SUM(D39:D41)))</f>
        <v>NP</v>
      </c>
      <c r="E42" s="206" t="str">
        <f xml:space="preserve"> IF(AND($B$109=FALSE,$B$110=FALSE),"NP",IF(COUNTIF(C42:D42,"NDD")&gt;0,"NDD",SUM(E39:E41)))</f>
        <v>NP</v>
      </c>
      <c r="F42" s="206" t="str">
        <f xml:space="preserve"> IF(AND($B$109=FALSE,$B$110=FALSE),"NP",IF(OR(COUNTBLANK(F39:F41)&gt;0,COUNTIF(F39:F41,"")&gt;0,COUNTIF(F39:F41,"NDD")&gt;0),"NDD",SUM(F39:F41)))</f>
        <v>NP</v>
      </c>
      <c r="G42" s="206" t="str">
        <f xml:space="preserve"> IF(AND($B$109=FALSE,$B$110=FALSE),"NP",IF(OR(COUNTBLANK(G39:G41)&gt;0,COUNTIF(G39:G41,"")&gt;0,COUNTIF(G39:G41,"NDD")&gt;0),"NDD",SUM(G39:G41)))</f>
        <v>NP</v>
      </c>
      <c r="H42" s="208" t="str">
        <f xml:space="preserve"> IF(AND($B$109=FALSE,$B$110=FALSE),"NP",IF(COUNTIF(F42:G42,"NDD")&gt;0,"NDD",SUM(H39:H41)))</f>
        <v>NP</v>
      </c>
      <c r="I42" s="171"/>
      <c r="J42" s="171"/>
    </row>
    <row r="43" spans="1:10" ht="7.5" customHeight="1" x14ac:dyDescent="0.25">
      <c r="I43" s="171"/>
      <c r="J43" s="171"/>
    </row>
    <row r="44" spans="1:10" x14ac:dyDescent="0.25">
      <c r="B44" s="2" t="str">
        <f>IF($B$109=FALSE,"",IF(COUNTIF(I39:J41,"Error!!!")&gt;0,"Revise las celdas en amarillo ya que el promedio de barriles por derrame está fuera del rango de interés",""))</f>
        <v/>
      </c>
      <c r="I44" s="171"/>
      <c r="J44" s="171"/>
    </row>
    <row r="45" spans="1:10" ht="15.75" thickBot="1" x14ac:dyDescent="0.3">
      <c r="I45" s="171"/>
      <c r="J45" s="171"/>
    </row>
    <row r="46" spans="1:10" ht="15.75" thickBot="1" x14ac:dyDescent="0.3">
      <c r="B46" s="77"/>
      <c r="C46" s="468" t="s">
        <v>80</v>
      </c>
      <c r="D46" s="469"/>
      <c r="E46" s="470"/>
      <c r="F46" s="471" t="s">
        <v>9</v>
      </c>
      <c r="G46" s="469"/>
      <c r="H46" s="470"/>
      <c r="I46" s="171"/>
      <c r="J46" s="171"/>
    </row>
    <row r="47" spans="1:10" ht="15.75" thickBot="1" x14ac:dyDescent="0.3">
      <c r="A47" s="448" t="s">
        <v>10</v>
      </c>
      <c r="B47" s="449"/>
      <c r="C47" s="90" t="s">
        <v>82</v>
      </c>
      <c r="D47" s="79" t="s">
        <v>83</v>
      </c>
      <c r="E47" s="80" t="s">
        <v>3</v>
      </c>
      <c r="F47" s="78" t="s">
        <v>82</v>
      </c>
      <c r="G47" s="80" t="s">
        <v>83</v>
      </c>
      <c r="H47" s="78" t="s">
        <v>3</v>
      </c>
      <c r="I47" s="171"/>
      <c r="J47" s="171"/>
    </row>
    <row r="48" spans="1:10" x14ac:dyDescent="0.25">
      <c r="A48" s="128"/>
      <c r="B48" s="142" t="s">
        <v>0</v>
      </c>
      <c r="C48" s="213"/>
      <c r="D48" s="214"/>
      <c r="E48" s="205" t="str">
        <f>IF($B$112=FALSE,"NP",IF(OR(C48="NDD",D48="NDD",C48="",D48=""),"NDD",SUM(C48:D48)))</f>
        <v>NP</v>
      </c>
      <c r="F48" s="214"/>
      <c r="G48" s="214"/>
      <c r="H48" s="207" t="str">
        <f>IF($B$112=FALSE,"NP",IF(OR(F48="NDD",G48="NDD",F48="",G48=""),"NDD",SUM(F48:G48)))</f>
        <v>NP</v>
      </c>
      <c r="I48" s="171" t="str">
        <f>IFERROR(IF(OR($B$112=FALSE,C48="NDD",C48="",F48="NDD",F48=""),"",IF(AND(C48=0,F48=0),"OK",IF(OR(F48/C48&gt;10,F48/C48&lt;1),"Error!!!","OK"))),"Error!!!")</f>
        <v/>
      </c>
      <c r="J48" s="171" t="str">
        <f>IFERROR(IF(OR($B$112=FALSE,D48="NDD",D48="",G48="NDD",G48=""),"",IF(AND(D48=0,G48=0),"OK",IF(OR(G48/D48&gt;10,G48/D48&lt;1),"Error!!!","OK"))),"Error!!!")</f>
        <v/>
      </c>
    </row>
    <row r="49" spans="1:10" x14ac:dyDescent="0.25">
      <c r="A49" s="128"/>
      <c r="B49" s="142" t="s">
        <v>1</v>
      </c>
      <c r="C49" s="213"/>
      <c r="D49" s="214"/>
      <c r="E49" s="205" t="str">
        <f>IF($B$112=FALSE,"NP",IF(OR(C49="NDD",D49="NDD",C49="",D49=""),"NDD",SUM(C49:D49)))</f>
        <v>NP</v>
      </c>
      <c r="F49" s="214"/>
      <c r="G49" s="214"/>
      <c r="H49" s="207" t="str">
        <f>IF($B$112=FALSE,"NP",IF(OR(F49="NDD",G49="NDD",F49="",G49=""),"NDD",SUM(F49:G49)))</f>
        <v>NP</v>
      </c>
      <c r="I49" s="171" t="str">
        <f>IFERROR(IF(OR($B$112=FALSE,C49="NDD",C49="",F49="NDD",F49=""),"",IF(AND(C49=0,F49=0),"OK",IF(OR(F49/C49&gt;100,F49/C49&lt;10),"Error!!!","OK"))),"Error!!!")</f>
        <v/>
      </c>
      <c r="J49" s="171" t="str">
        <f>IFERROR(IF(OR($B$112=FALSE,D49="NDD",D49="",G49="NDD",G49=""),"",IF(AND(D49=0,G49=0),"OK",IF(OR(G49/D49&gt;100,G49/D49&lt;10),"Error!!!","OK"))),"Error!!!")</f>
        <v/>
      </c>
    </row>
    <row r="50" spans="1:10" ht="15.75" thickBot="1" x14ac:dyDescent="0.3">
      <c r="A50" s="128"/>
      <c r="B50" s="142" t="s">
        <v>2</v>
      </c>
      <c r="C50" s="213"/>
      <c r="D50" s="214"/>
      <c r="E50" s="205" t="str">
        <f>IF($B$112=FALSE,"NP",IF(OR(C50="NDD",D50="NDD",C50="",D50=""),"NDD",SUM(C50:D50)))</f>
        <v>NP</v>
      </c>
      <c r="F50" s="214"/>
      <c r="G50" s="214"/>
      <c r="H50" s="207" t="str">
        <f>IF($B$112=FALSE,"NP",IF(OR(F50="NDD",G50="NDD",F50="",G50=""),"NDD",SUM(F50:G50)))</f>
        <v>NP</v>
      </c>
      <c r="I50" s="171" t="str">
        <f>IFERROR(IF(OR($B$112=FALSE,C50="NDD",C50="",F50="NDD",F50=""),"",IF(AND(F50=0,C50=0),"OK",IF(F50/C50&lt;100,"Error!!!","OK"))),"Error!!!")</f>
        <v/>
      </c>
      <c r="J50" s="171" t="str">
        <f>IFERROR(IF(OR($B$112=FALSE,D50="NDD",D50="",G50="NDD",G50=""),"",IF(AND(G50=0,D50=0),"OK",IF(G50/D50&lt;100,"Error!!!","OK"))),"Error!!!")</f>
        <v/>
      </c>
    </row>
    <row r="51" spans="1:10" ht="15.75" thickBot="1" x14ac:dyDescent="0.3">
      <c r="A51" s="129"/>
      <c r="B51" s="138" t="s">
        <v>119</v>
      </c>
      <c r="C51" s="210" t="str">
        <f>IF($B$112=FALSE,"NP",IF(OR(COUNTIF($C$48:$C$50,"NDD"),COUNTBLANK($C$48:$C$50))=TRUE,"NDD",SUM($C$48:$C$50)))</f>
        <v>NP</v>
      </c>
      <c r="D51" s="206" t="str">
        <f>IF($B$112=FALSE,"NP",IF(OR(COUNTIF($D$48:$D$50,"NDD"),COUNTBLANK($D$48:$D$50))=TRUE,"NDD",SUM($D$48:$D$50)))</f>
        <v>NP</v>
      </c>
      <c r="E51" s="206" t="str">
        <f xml:space="preserve"> IF($B$112=FALSE,"NP",IF(COUNTIF(C51:D51,"NDD")&gt;0,"NDD",SUM(C51:D51)))</f>
        <v>NP</v>
      </c>
      <c r="F51" s="206" t="str">
        <f>IF($B$112=FALSE,"NP",IF(OR(COUNTIF($F$48:$F$50,"NDD"),COUNTBLANK($F$48:$F$50))=TRUE,"NDD",SUM($F$48:$F$50)))</f>
        <v>NP</v>
      </c>
      <c r="G51" s="206" t="str">
        <f>IF($B$112=FALSE,"NP",IF(OR(COUNTIF($G$48:$G$50,"NDD"),COUNTBLANK($G$48:$G$50))=TRUE,"NDD",SUM($G$48:$G$50)))</f>
        <v>NP</v>
      </c>
      <c r="H51" s="208" t="str">
        <f xml:space="preserve"> IF($B$112=FALSE,"NP",IF(COUNTIF(F51:G51,"NDD")&gt;0,"NDD",SUM(F51:G51)))</f>
        <v>NP</v>
      </c>
      <c r="I51" s="171"/>
      <c r="J51" s="171"/>
    </row>
    <row r="52" spans="1:10" ht="7.5" customHeight="1" x14ac:dyDescent="0.25">
      <c r="I52" s="171"/>
      <c r="J52" s="171"/>
    </row>
    <row r="53" spans="1:10" x14ac:dyDescent="0.25">
      <c r="B53" s="2" t="str">
        <f>IF($B$112=FALSE,"",IF(COUNTIF(I48:J50,"Error!!!")&gt;0,"Revise las celdas en amarillo ya que el promedio de barriles por derrame está fuera del rango de interés",""))</f>
        <v/>
      </c>
      <c r="I53" s="171"/>
      <c r="J53" s="171"/>
    </row>
    <row r="54" spans="1:10" hidden="1" x14ac:dyDescent="0.25">
      <c r="B54" s="2" t="str">
        <f>IF($B$112=FALSE,"",IF((COUNTBLANK(C48:D50)+COUNTBLANK(F48:G50))&gt;0,"Aún existen celdas vacías, favor coloque un valor. En el caso de no existir los datos solicitados escriba NDD en la casilla correspondiente",""))</f>
        <v/>
      </c>
      <c r="I54" s="171"/>
      <c r="J54" s="171"/>
    </row>
    <row r="55" spans="1:10" ht="15.75" thickBot="1" x14ac:dyDescent="0.3">
      <c r="I55" s="171"/>
      <c r="J55" s="171"/>
    </row>
    <row r="56" spans="1:10" ht="15.75" thickBot="1" x14ac:dyDescent="0.3">
      <c r="B56" s="77"/>
      <c r="C56" s="452" t="s">
        <v>80</v>
      </c>
      <c r="D56" s="453"/>
      <c r="E56" s="454"/>
      <c r="F56" s="455" t="s">
        <v>9</v>
      </c>
      <c r="G56" s="453"/>
      <c r="H56" s="454"/>
      <c r="I56" s="171"/>
      <c r="J56" s="171"/>
    </row>
    <row r="57" spans="1:10" ht="15.75" thickBot="1" x14ac:dyDescent="0.3">
      <c r="A57" s="446" t="s">
        <v>11</v>
      </c>
      <c r="B57" s="447"/>
      <c r="C57" s="173" t="s">
        <v>82</v>
      </c>
      <c r="D57" s="81" t="s">
        <v>83</v>
      </c>
      <c r="E57" s="81" t="s">
        <v>3</v>
      </c>
      <c r="F57" s="81" t="s">
        <v>82</v>
      </c>
      <c r="G57" s="81" t="s">
        <v>83</v>
      </c>
      <c r="H57" s="82" t="s">
        <v>3</v>
      </c>
      <c r="I57" s="171"/>
      <c r="J57" s="171"/>
    </row>
    <row r="58" spans="1:10" x14ac:dyDescent="0.25">
      <c r="A58" s="130"/>
      <c r="B58" s="141" t="s">
        <v>0</v>
      </c>
      <c r="C58" s="215"/>
      <c r="D58" s="216"/>
      <c r="E58" s="205" t="str">
        <f>IF($B$113=FALSE,"NP",IF(OR(C58="NDD",D58="NDD",C58="",D58=""),"NDD",SUM(C58:D58)))</f>
        <v>NP</v>
      </c>
      <c r="F58" s="216"/>
      <c r="G58" s="216"/>
      <c r="H58" s="207" t="str">
        <f>IF($B$113=FALSE,"NP",IF(OR(F58="NDD",G58="NDD",F58="",G58=""),"NDD",SUM(F58:G58)))</f>
        <v>NP</v>
      </c>
      <c r="I58" s="171" t="str">
        <f>IFERROR(IF(OR($B$113=FALSE,C58="NDD",C58="",F58="NDD",F58=""),"",IF(AND(C58=0,F58=0),"OK",IF(OR(F58/C58&gt;10,F58/C58&lt;1),"Error!!!","OK"))),"Error!!!")</f>
        <v/>
      </c>
      <c r="J58" s="171" t="str">
        <f>IFERROR(IF(OR($B$113=FALSE,D58="NDD",D58="",G58="NDD",G58=""),"",IF(AND(D58=0,G58=0),"OK",IF(OR(G58/D58&gt;10,G58/D58&lt;1),"Error!!!","OK"))),"Error!!!")</f>
        <v/>
      </c>
    </row>
    <row r="59" spans="1:10" x14ac:dyDescent="0.25">
      <c r="A59" s="130"/>
      <c r="B59" s="141" t="s">
        <v>1</v>
      </c>
      <c r="C59" s="215"/>
      <c r="D59" s="216"/>
      <c r="E59" s="205" t="str">
        <f>IF($B$113=FALSE,"NP",IF(OR(C59="NDD",D59="NDD",C59="",D59=""),"NDD",SUM(C59:D59)))</f>
        <v>NP</v>
      </c>
      <c r="F59" s="216"/>
      <c r="G59" s="216"/>
      <c r="H59" s="207" t="str">
        <f>IF($B$113=FALSE,"NP",IF(OR(F59="NDD",G59="NDD",F59="",G59=""),"NDD",SUM(F59:G59)))</f>
        <v>NP</v>
      </c>
      <c r="I59" s="171" t="str">
        <f>IFERROR(IF(OR($B$113=FALSE,C59="NDD",C59="",F59="NDD",F59=""),"",IF(AND(C59=0,F59=0),"OK",IF(OR(F59/C59&gt;100,F59/C59&lt;10),"Error!!!","OK"))),"Error!!!")</f>
        <v/>
      </c>
      <c r="J59" s="171" t="str">
        <f>IFERROR(IF(OR($B$113=FALSE,D59="NDD",D59="",G59="NDD",G59=""),"",IF(AND(D59=0,G59=0),"OK",IF(OR(G59/D59&gt;100,G59/D59&lt;10),"Error!!!","OK"))),"Error!!!")</f>
        <v/>
      </c>
    </row>
    <row r="60" spans="1:10" ht="15.75" thickBot="1" x14ac:dyDescent="0.3">
      <c r="A60" s="130"/>
      <c r="B60" s="141" t="s">
        <v>2</v>
      </c>
      <c r="C60" s="215"/>
      <c r="D60" s="216"/>
      <c r="E60" s="205" t="str">
        <f>IF($B$113=FALSE,"NP",IF(OR(C60="NDD",D60="NDD",C60="",D60=""),"NDD",SUM(C60:D60)))</f>
        <v>NP</v>
      </c>
      <c r="F60" s="216"/>
      <c r="G60" s="216"/>
      <c r="H60" s="207" t="str">
        <f>IF($B$113=FALSE,"NP",IF(OR(F60="NDD",G60="NDD",F60="",G60=""),"NDD",SUM(F60:G60)))</f>
        <v>NP</v>
      </c>
      <c r="I60" s="171" t="str">
        <f>IFERROR(IF(OR($B$113=FALSE,C60="NDD",C60="",F60="NDD",F60=""),"",IF(AND(F60=0,C60=0),"OK",IF(F60/C60&lt;100,"Error!!!","OK"))),"Error!!!")</f>
        <v/>
      </c>
      <c r="J60" s="171" t="str">
        <f>IFERROR(IF(OR($B$113=FALSE,D60="NDD",D60="",G60="NDD",G60=""),"",IF(AND(G60=0,D60=0),"OK",IF(G60/D60&lt;100,"Error!!!","OK"))),"Error!!!")</f>
        <v/>
      </c>
    </row>
    <row r="61" spans="1:10" ht="15.75" thickBot="1" x14ac:dyDescent="0.3">
      <c r="A61" s="131"/>
      <c r="B61" s="138" t="s">
        <v>120</v>
      </c>
      <c r="C61" s="210" t="str">
        <f>IF($B$113=FALSE,"NP",IF(OR(COUNTIF($C$58:$C$60,"NDD"),COUNTBLANK($C$58:$C$60))=TRUE,"NDD",SUM($C$58:$C$60)))</f>
        <v>NP</v>
      </c>
      <c r="D61" s="206" t="str">
        <f>IF($B$113=FALSE,"NP",IF(OR(COUNTIF($D$58:$D$60,"NDD"),COUNTBLANK($D$58:$D$60))=TRUE,"NDD",SUM($D$58:$D$60)))</f>
        <v>NP</v>
      </c>
      <c r="E61" s="206" t="str">
        <f xml:space="preserve"> IF($B$113=FALSE,"NP",IF(COUNTIF(C61:D61,"NDD")&gt;0,"NDD",SUM(C61:D61)))</f>
        <v>NP</v>
      </c>
      <c r="F61" s="206" t="str">
        <f>IF($B$113=FALSE,"NP",IF(OR(COUNTIF($F$58:$F$60,"NDD"),COUNTBLANK($F$58:$F$60))=TRUE,"NDD",SUM($F$58:$F$60)))</f>
        <v>NP</v>
      </c>
      <c r="G61" s="206" t="str">
        <f>IF($B$113=FALSE,"NP",IF(OR(COUNTIF($G$58:$G$60,"NDD"),COUNTBLANK($G$58:$G$60))=TRUE,"NDD",SUM($G$58:$G$60)))</f>
        <v>NP</v>
      </c>
      <c r="H61" s="208" t="str">
        <f xml:space="preserve"> IF($B$113=FALSE,"NP",IF(COUNTIF(F61:G61,"NDD")&gt;0,"NDD",SUM(F61:G61)))</f>
        <v>NP</v>
      </c>
      <c r="I61" s="171"/>
      <c r="J61" s="171"/>
    </row>
    <row r="62" spans="1:10" ht="7.5" customHeight="1" x14ac:dyDescent="0.25">
      <c r="I62" s="171"/>
      <c r="J62" s="171"/>
    </row>
    <row r="63" spans="1:10" x14ac:dyDescent="0.25">
      <c r="B63" s="2" t="str">
        <f>IF($B$113=FALSE,"",IF(COUNTIF(I58:J60,"Error!!!")&gt;0,"Revise las celdas en amarillo ya que el promedio de barriles por derrame está fuera del rango de interés",""))</f>
        <v/>
      </c>
      <c r="I63" s="171"/>
      <c r="J63" s="171"/>
    </row>
    <row r="64" spans="1:10" hidden="1" x14ac:dyDescent="0.25">
      <c r="B64" s="2" t="str">
        <f>IF($B$113=FALSE,"",IF((COUNTBLANK(C58:D60)+COUNTBLANK(F58:G60))&gt;0,"Aún existen celdas vacías, favor coloque un valor. En el caso de no existir los datos solicitados escriba NDD en la casilla correspondiente",""))</f>
        <v/>
      </c>
      <c r="I64" s="171"/>
      <c r="J64" s="171"/>
    </row>
    <row r="65" spans="1:10" ht="15.75" thickBot="1" x14ac:dyDescent="0.3">
      <c r="I65" s="171"/>
      <c r="J65" s="171"/>
    </row>
    <row r="66" spans="1:10" ht="15.75" thickBot="1" x14ac:dyDescent="0.3">
      <c r="B66" s="77"/>
      <c r="C66" s="456" t="s">
        <v>80</v>
      </c>
      <c r="D66" s="457"/>
      <c r="E66" s="458"/>
      <c r="F66" s="459" t="s">
        <v>9</v>
      </c>
      <c r="G66" s="457"/>
      <c r="H66" s="458"/>
      <c r="I66" s="171"/>
      <c r="J66" s="171"/>
    </row>
    <row r="67" spans="1:10" ht="15" customHeight="1" thickBot="1" x14ac:dyDescent="0.3">
      <c r="A67" s="444" t="s">
        <v>13</v>
      </c>
      <c r="B67" s="445"/>
      <c r="C67" s="85" t="s">
        <v>82</v>
      </c>
      <c r="D67" s="83" t="s">
        <v>83</v>
      </c>
      <c r="E67" s="83" t="s">
        <v>3</v>
      </c>
      <c r="F67" s="83" t="s">
        <v>82</v>
      </c>
      <c r="G67" s="83" t="s">
        <v>83</v>
      </c>
      <c r="H67" s="84" t="s">
        <v>3</v>
      </c>
      <c r="I67" s="171"/>
      <c r="J67" s="171"/>
    </row>
    <row r="68" spans="1:10" ht="15.75" customHeight="1" x14ac:dyDescent="0.25">
      <c r="A68" s="132"/>
      <c r="B68" s="140" t="s">
        <v>0</v>
      </c>
      <c r="C68" s="217"/>
      <c r="D68" s="218"/>
      <c r="E68" s="205" t="str">
        <f>IF($B$114=FALSE,"NP",IF(OR(C68="NDD",D68="NDD",C68="",D68=""),"NDD",SUM(C68:D68)))</f>
        <v>NP</v>
      </c>
      <c r="F68" s="218"/>
      <c r="G68" s="218"/>
      <c r="H68" s="207" t="str">
        <f>IF($B$114=FALSE,"NP",IF(OR(F68="NDD",G68="NDD",F68="",G68=""),"NDD",SUM(F68:G68)))</f>
        <v>NP</v>
      </c>
      <c r="I68" s="171" t="str">
        <f>IFERROR(IF(OR($B$114=FALSE,C68="NDD",C68="",F68="NDD",F68=""),"",IF(AND(C68=0,F68=0),"OK",IF(OR(F68/C68&gt;10,F68/C68&lt;1),"Error!!!","OK"))),"Error!!!")</f>
        <v/>
      </c>
      <c r="J68" s="171" t="str">
        <f>IFERROR(IF(OR($B$114=FALSE,D68="NDD",D68="",G68="NDD",G68=""),"",IF(AND(D68=0,G68=0),"OK",IF(OR(G68/D68&gt;10,G68/D68&lt;1),"Error!!!","OK"))),"Error!!!")</f>
        <v/>
      </c>
    </row>
    <row r="69" spans="1:10" x14ac:dyDescent="0.25">
      <c r="A69" s="132"/>
      <c r="B69" s="140" t="s">
        <v>1</v>
      </c>
      <c r="C69" s="217"/>
      <c r="D69" s="218"/>
      <c r="E69" s="205" t="str">
        <f>IF($B$114=FALSE,"NP",IF(OR(C69="NDD",D69="NDD",C69="",D69=""),"NDD",SUM(C69:D69)))</f>
        <v>NP</v>
      </c>
      <c r="F69" s="218"/>
      <c r="G69" s="218"/>
      <c r="H69" s="207" t="str">
        <f>IF($B$114=FALSE,"NP",IF(OR(F69="NDD",G69="NDD",F69="",G69=""),"NDD",SUM(F69:G69)))</f>
        <v>NP</v>
      </c>
      <c r="I69" s="171" t="str">
        <f>IFERROR(IF(OR($B$114=FALSE,C69="NDD",C69="",F69="NDD",F69=""),"",IF(AND(C69=0,F69=0),"OK",IF(OR(F69/C69&gt;100,F69/C69&lt;10),"Error!!!","OK"))),"Error!!!")</f>
        <v/>
      </c>
      <c r="J69" s="171" t="str">
        <f>IFERROR(IF(OR($B$114=FALSE,D69="NDD",D69="",G69="NDD",G69=""),"",IF(AND(D69=0,G69=0),"OK",IF(OR(G69/D69&gt;100,G69/D69&lt;10),"Error!!!","OK"))),"Error!!!")</f>
        <v/>
      </c>
    </row>
    <row r="70" spans="1:10" ht="15.75" thickBot="1" x14ac:dyDescent="0.3">
      <c r="A70" s="132"/>
      <c r="B70" s="140" t="s">
        <v>2</v>
      </c>
      <c r="C70" s="217"/>
      <c r="D70" s="218"/>
      <c r="E70" s="205" t="str">
        <f>IF($B$114=FALSE,"NP",IF(OR(C70="NDD",D70="NDD",C70="",D70=""),"NDD",SUM(C70:D70)))</f>
        <v>NP</v>
      </c>
      <c r="F70" s="218"/>
      <c r="G70" s="218"/>
      <c r="H70" s="207" t="str">
        <f>IF($B$114=FALSE,"NP",IF(OR(F70="NDD",G70="NDD",F70="",G70=""),"NDD",SUM(F70:G70)))</f>
        <v>NP</v>
      </c>
      <c r="I70" s="171" t="str">
        <f>IFERROR(IF(OR($B$114=FALSE,C70="NDD",C70="",F70="NDD",F70=""),"",IF(AND(F70=0,C70=0),"OK",IF(F70/C70&lt;100,"Error!!!","OK"))),"Error!!!")</f>
        <v/>
      </c>
      <c r="J70" s="171" t="str">
        <f>IFERROR(IF(OR($B$114=FALSE,D70="NDD",D70="",G70="NDD",G70=""),"",IF(AND(G70=0,D70=0),"OK",IF(G70/D70&lt;100,"Error!!!","OK"))),"Error!!!")</f>
        <v/>
      </c>
    </row>
    <row r="71" spans="1:10" ht="15.75" thickBot="1" x14ac:dyDescent="0.3">
      <c r="A71" s="133"/>
      <c r="B71" s="138" t="s">
        <v>121</v>
      </c>
      <c r="C71" s="210" t="str">
        <f>IF($B$114=FALSE,"NP",IF(OR(COUNTIF($C$68:$C$70,"NDD"),COUNTBLANK($C$68:$C$70))=TRUE,"NDD",SUM($C$68:$C$70)))</f>
        <v>NP</v>
      </c>
      <c r="D71" s="206" t="str">
        <f>IF($B$114=FALSE,"NP",IF(OR(COUNTIF($D$68:$D$70,"NDD"),COUNTBLANK($D$68:$D$70))=TRUE,"NDD",SUM($D$68:$D$70)))</f>
        <v>NP</v>
      </c>
      <c r="E71" s="206" t="str">
        <f xml:space="preserve"> IF($B$114=FALSE,"NP",IF(COUNTIF(C71:D71,"NDD")&gt;0,"NDD",SUM(C71:D71)))</f>
        <v>NP</v>
      </c>
      <c r="F71" s="206" t="str">
        <f>IF($B$114=FALSE,"NP",IF(OR(COUNTIF($F$68:$F$70,"NDD"),COUNTBLANK($F$68:$F$70))=TRUE,"NDD",SUM($F$68:$F$70)))</f>
        <v>NP</v>
      </c>
      <c r="G71" s="206" t="str">
        <f>IF($B$114=FALSE,"NP",IF(OR(COUNTIF($G$68:$G$70,"NDD"),COUNTBLANK($G$68:$G$70))=TRUE,"NDD",SUM($G$68:$G$70)))</f>
        <v>NP</v>
      </c>
      <c r="H71" s="208" t="str">
        <f xml:space="preserve"> IF($B$114=FALSE,"NP",IF(COUNTIF(F71:G71,"NDD")&gt;0,"NDD",SUM(F71:G71)))</f>
        <v>NP</v>
      </c>
      <c r="I71" s="171"/>
      <c r="J71" s="171"/>
    </row>
    <row r="72" spans="1:10" ht="7.5" customHeight="1" x14ac:dyDescent="0.25">
      <c r="I72" s="171"/>
      <c r="J72" s="171"/>
    </row>
    <row r="73" spans="1:10" x14ac:dyDescent="0.25">
      <c r="B73" s="2" t="str">
        <f>IF($B$114=FALSE,"",IF(COUNTIF(I68:J70,"Error!!!")&gt;0,"Revise las celdas en amarillo ya que el promedio de barriles por derrame está fuera del rango de interés",""))</f>
        <v/>
      </c>
      <c r="I73" s="171"/>
      <c r="J73" s="171"/>
    </row>
    <row r="74" spans="1:10" hidden="1" x14ac:dyDescent="0.25">
      <c r="B74" s="2" t="str">
        <f>IF($B$114=FALSE,"",IF((COUNTBLANK(C68:D70)+COUNTBLANK(F68:G70))&gt;0,"Aún existen celdas vacías, favor coloque un valor. En el caso de no existir los datos solicitados escriba NDD en la casilla correspondiente",""))</f>
        <v/>
      </c>
      <c r="I74" s="171"/>
      <c r="J74" s="171"/>
    </row>
    <row r="75" spans="1:10" ht="15.75" thickBot="1" x14ac:dyDescent="0.3">
      <c r="I75" s="171"/>
      <c r="J75" s="171"/>
    </row>
    <row r="76" spans="1:10" ht="15.75" thickBot="1" x14ac:dyDescent="0.3">
      <c r="B76" s="77"/>
      <c r="C76" s="460" t="s">
        <v>80</v>
      </c>
      <c r="D76" s="461"/>
      <c r="E76" s="462"/>
      <c r="F76" s="463" t="s">
        <v>9</v>
      </c>
      <c r="G76" s="461"/>
      <c r="H76" s="462"/>
      <c r="I76" s="171"/>
      <c r="J76" s="171"/>
    </row>
    <row r="77" spans="1:10" ht="15.75" thickBot="1" x14ac:dyDescent="0.3">
      <c r="A77" s="442" t="s">
        <v>12</v>
      </c>
      <c r="B77" s="443"/>
      <c r="C77" s="172" t="s">
        <v>82</v>
      </c>
      <c r="D77" s="86" t="s">
        <v>83</v>
      </c>
      <c r="E77" s="86" t="s">
        <v>3</v>
      </c>
      <c r="F77" s="86" t="s">
        <v>82</v>
      </c>
      <c r="G77" s="86" t="s">
        <v>83</v>
      </c>
      <c r="H77" s="87" t="s">
        <v>3</v>
      </c>
      <c r="I77" s="171"/>
      <c r="J77" s="171"/>
    </row>
    <row r="78" spans="1:10" x14ac:dyDescent="0.25">
      <c r="A78" s="134"/>
      <c r="B78" s="139" t="s">
        <v>0</v>
      </c>
      <c r="C78" s="219"/>
      <c r="D78" s="220"/>
      <c r="E78" s="205" t="str">
        <f>IF($B$115=FALSE,"NP",IF(OR(C78="NDD",D78="NDD",C78="",D78=""),"NDD",SUM(C78:D78)))</f>
        <v>NP</v>
      </c>
      <c r="F78" s="220"/>
      <c r="G78" s="220"/>
      <c r="H78" s="207" t="str">
        <f>IF($B$115=FALSE,"NP",IF(OR(F78="NDD",G78="NDD",F78="",G78=""),"NDD",SUM(F78:G78)))</f>
        <v>NP</v>
      </c>
      <c r="I78" s="171" t="str">
        <f>IFERROR(IF(OR($B$115=FALSE,C78="NDD",C78="",F78="NDD",F78=""),"",IF(AND(C78=0,F78=0),"OK",IF(OR(F78/C78&gt;10,F78/C78&lt;1),"Error!!!","OK"))),"Error!!!")</f>
        <v/>
      </c>
      <c r="J78" s="171" t="str">
        <f>IFERROR(IF(OR($B$115=FALSE,D78="NDD",D78="",G78="NDD",G78=""),"",IF(AND(D78=0,G78=0),"OK",IF(OR(G78/D78&gt;10,G78/D78&lt;1),"Error!!!","OK"))),"Error!!!")</f>
        <v/>
      </c>
    </row>
    <row r="79" spans="1:10" ht="15" customHeight="1" x14ac:dyDescent="0.25">
      <c r="A79" s="134"/>
      <c r="B79" s="139" t="s">
        <v>1</v>
      </c>
      <c r="C79" s="219"/>
      <c r="D79" s="220"/>
      <c r="E79" s="205" t="str">
        <f>IF($B$115=FALSE,"NP",IF(OR(C79="NDD",D79="NDD",C79="",D79=""),"NDD",SUM(C79:D79)))</f>
        <v>NP</v>
      </c>
      <c r="F79" s="220"/>
      <c r="G79" s="220"/>
      <c r="H79" s="207" t="str">
        <f>IF($B$115=FALSE,"NP",IF(OR(F79="NDD",G79="NDD",F79="",G79=""),"NDD",SUM(F79:G79)))</f>
        <v>NP</v>
      </c>
      <c r="I79" s="171" t="str">
        <f>IFERROR(IF(OR($B$115=FALSE,C79="NDD",C79="",F79="NDD",F79=""),"",IF(AND(C79=0,F79=0),"OK",IF(OR(F79/C79&gt;100,F79/C79&lt;10),"Error!!!","OK"))),"Error!!!")</f>
        <v/>
      </c>
      <c r="J79" s="171" t="str">
        <f>IFERROR(IF(OR($B$115=FALSE,D79="NDD",D79="",G79="NDD",G79=""),"",IF(AND(D79=0,G79=0),"OK",IF(OR(G79/D79&gt;100,G79/D79&lt;10),"Error!!!","OK"))),"Error!!!")</f>
        <v/>
      </c>
    </row>
    <row r="80" spans="1:10" ht="15.75" thickBot="1" x14ac:dyDescent="0.3">
      <c r="A80" s="134"/>
      <c r="B80" s="139" t="s">
        <v>2</v>
      </c>
      <c r="C80" s="219"/>
      <c r="D80" s="220"/>
      <c r="E80" s="205" t="str">
        <f>IF($B$115=FALSE,"NP",IF(OR(C80="NDD",D80="NDD",C80="",D80=""),"NDD",SUM(C80:D80)))</f>
        <v>NP</v>
      </c>
      <c r="F80" s="220"/>
      <c r="G80" s="220"/>
      <c r="H80" s="207" t="str">
        <f>IF($B$115=FALSE,"NP",IF(OR(F80="NDD",G80="NDD",F80="",G80=""),"NDD",SUM(F80:G80)))</f>
        <v>NP</v>
      </c>
      <c r="I80" s="171" t="str">
        <f>IFERROR(IF(OR($B$115=FALSE,C80="NDD",C80="",F80="NDD",F80=""),"",IF(AND(F80=0,C80=0),"OK",IF(F80/C80&lt;100,"Error!!!","OK"))),"Error!!!")</f>
        <v/>
      </c>
      <c r="J80" s="171" t="str">
        <f>IFERROR(IF(OR($B$115=FALSE,D80="NDD",D80="",G80="NDD",G80=""),"",IF(AND(G80=0,D80=0),"OK",IF(G80/D80&lt;100,"Error!!!","OK"))),"Error!!!")</f>
        <v/>
      </c>
    </row>
    <row r="81" spans="1:10" ht="15.75" thickBot="1" x14ac:dyDescent="0.3">
      <c r="A81" s="135"/>
      <c r="B81" s="138" t="s">
        <v>122</v>
      </c>
      <c r="C81" s="210" t="str">
        <f>IF($B$115=FALSE,"NP",IF(OR(COUNTIF($C$78:$C$80,"NDD"),COUNTBLANK($C$78:$C$80))=TRUE,"NDD",SUM($C$78:$C$80)))</f>
        <v>NP</v>
      </c>
      <c r="D81" s="206" t="str">
        <f>IF($B$115=FALSE,"NP",IF(OR(COUNTIF($D$78:$D$80,"NDD"),COUNTBLANK($D$78:$D$80))=TRUE,"NDD",SUM($D$78:$D$80)))</f>
        <v>NP</v>
      </c>
      <c r="E81" s="206" t="str">
        <f xml:space="preserve"> IF($B$115=FALSE,"NP",IF(COUNTIF(C81:D81,"NDD")&gt;0,"NDD",SUM(C81:D81)))</f>
        <v>NP</v>
      </c>
      <c r="F81" s="206" t="str">
        <f>IF($B$115=FALSE,"NP",IF(OR(COUNTIF($F$78:$F$80,"NDD"),COUNTBLANK($F$78:$F$80))=TRUE,"NDD",SUM($F$78:$F$80)))</f>
        <v>NP</v>
      </c>
      <c r="G81" s="206" t="str">
        <f>IF($B$115=FALSE,"NP",IF(OR(COUNTIF($G$78:$G$80,"NDD"),COUNTBLANK($G$78:$G$80))=TRUE,"NDD",SUM($G$78:$G$80)))</f>
        <v>NP</v>
      </c>
      <c r="H81" s="208" t="str">
        <f xml:space="preserve"> IF($B$115=FALSE,"NP",IF(COUNTIF(F81:G81,"NDD")&gt;0,"NDD",SUM(F81:G81)))</f>
        <v>NP</v>
      </c>
      <c r="I81" s="171"/>
      <c r="J81" s="171"/>
    </row>
    <row r="82" spans="1:10" ht="7.5" customHeight="1" x14ac:dyDescent="0.25">
      <c r="I82" s="171"/>
      <c r="J82" s="171"/>
    </row>
    <row r="83" spans="1:10" x14ac:dyDescent="0.25">
      <c r="B83" s="2" t="str">
        <f>IF($B$115=FALSE,"",IF(COUNTIF(I78:J80,"Error!!!")&gt;0,"Revise las celdas en amarillo ya que el promedio de barriles por derrame está fuera del rango de interés",""))</f>
        <v/>
      </c>
      <c r="I83" s="171"/>
      <c r="J83" s="171"/>
    </row>
    <row r="84" spans="1:10" hidden="1" x14ac:dyDescent="0.25">
      <c r="B84" s="2" t="str">
        <f>IF($B$115=FALSE,"",IF((COUNTBLANK(C78:D80)+COUNTBLANK(F78:G80))&gt;0,"Aún existen celdas vacías, favor coloque un valor. En el caso de no existir los datos solicitados escriba NDD en la casilla correspondiente",""))</f>
        <v/>
      </c>
      <c r="I84" s="171"/>
      <c r="J84" s="171"/>
    </row>
    <row r="85" spans="1:10" ht="15.75" thickBot="1" x14ac:dyDescent="0.3">
      <c r="I85" s="171"/>
      <c r="J85" s="171"/>
    </row>
    <row r="86" spans="1:10" ht="15.75" thickBot="1" x14ac:dyDescent="0.3">
      <c r="B86" s="77"/>
      <c r="C86" s="464" t="s">
        <v>80</v>
      </c>
      <c r="D86" s="465"/>
      <c r="E86" s="466"/>
      <c r="F86" s="467" t="s">
        <v>9</v>
      </c>
      <c r="G86" s="465"/>
      <c r="H86" s="466"/>
      <c r="I86" s="171"/>
      <c r="J86" s="171"/>
    </row>
    <row r="87" spans="1:10" ht="15.75" thickBot="1" x14ac:dyDescent="0.3">
      <c r="A87" s="440" t="s">
        <v>20</v>
      </c>
      <c r="B87" s="441"/>
      <c r="C87" s="91" t="s">
        <v>82</v>
      </c>
      <c r="D87" s="88" t="s">
        <v>83</v>
      </c>
      <c r="E87" s="88" t="s">
        <v>3</v>
      </c>
      <c r="F87" s="88" t="s">
        <v>82</v>
      </c>
      <c r="G87" s="88" t="s">
        <v>83</v>
      </c>
      <c r="H87" s="89" t="s">
        <v>3</v>
      </c>
      <c r="I87" s="171"/>
      <c r="J87" s="171"/>
    </row>
    <row r="88" spans="1:10" x14ac:dyDescent="0.25">
      <c r="A88" s="107"/>
      <c r="B88" s="137" t="s">
        <v>0</v>
      </c>
      <c r="C88" s="221"/>
      <c r="D88" s="222"/>
      <c r="E88" s="205" t="str">
        <f>IF($B$116=FALSE,"NP",IF(OR(C88="NDD",D88="NDD",C88="",D88=""),"NDD",SUM(C88:D88)))</f>
        <v>NP</v>
      </c>
      <c r="F88" s="222"/>
      <c r="G88" s="222"/>
      <c r="H88" s="207" t="str">
        <f>IF($B$116=FALSE,"NP",IF(OR(F88="NDD",G88="NDD",F88="",G88=""),"NDD",SUM(F88:G88)))</f>
        <v>NP</v>
      </c>
      <c r="I88" s="171" t="str">
        <f>IFERROR(IF(OR($B$116=FALSE,C88="NDD",C88="",F88="NDD",F88=""),"",IF(AND(C88=0,F88=0),"OK",IF(OR(F88/C88&gt;10,F88/C88&lt;1),"Error!!!","OK"))),"Error!!!")</f>
        <v/>
      </c>
      <c r="J88" s="171" t="str">
        <f>IFERROR(IF(OR($B$116=FALSE,D88="NDD",D88="",G88="NDD",G88=""),"",IF(AND(D88=0,G88=0),"OK",IF(OR(G88/D88&gt;10,G88/D88&lt;1),"Error!!!","OK"))),"Error!!!")</f>
        <v/>
      </c>
    </row>
    <row r="89" spans="1:10" ht="15" customHeight="1" x14ac:dyDescent="0.25">
      <c r="A89" s="107"/>
      <c r="B89" s="137" t="s">
        <v>1</v>
      </c>
      <c r="C89" s="221"/>
      <c r="D89" s="222"/>
      <c r="E89" s="205" t="str">
        <f>IF($B$116=FALSE,"NP",IF(OR(C89="NDD",D89="NDD",C89="",D89=""),"NDD",SUM(C89:D89)))</f>
        <v>NP</v>
      </c>
      <c r="F89" s="222"/>
      <c r="G89" s="222"/>
      <c r="H89" s="207" t="str">
        <f>IF($B$116=FALSE,"NP",IF(OR(F89="NDD",G89="NDD",F89="",G89=""),"NDD",SUM(F89:G89)))</f>
        <v>NP</v>
      </c>
      <c r="I89" s="171" t="str">
        <f>IFERROR(IF(OR($B$116=FALSE,C89="NDD",C89="",F89="NDD",F89=""),"",IF(AND(C89=0,F89=0),"OK",IF(OR(F89/C89&gt;100,F89/C89&lt;10),"Error!!!","OK"))),"Error!!!")</f>
        <v/>
      </c>
      <c r="J89" s="171" t="str">
        <f>IFERROR(IF(OR($B$116=FALSE,D89="NDD",D89="",G89="NDD",G89=""),"",IF(AND(D89=0,G89=0),"OK",IF(OR(G89/D89&gt;100,G89/D89&lt;10),"Error!!!","OK"))),"Error!!!")</f>
        <v/>
      </c>
    </row>
    <row r="90" spans="1:10" ht="15.75" thickBot="1" x14ac:dyDescent="0.3">
      <c r="A90" s="107"/>
      <c r="B90" s="137" t="s">
        <v>2</v>
      </c>
      <c r="C90" s="221"/>
      <c r="D90" s="222"/>
      <c r="E90" s="205" t="str">
        <f>IF($B$116=FALSE,"NP",IF(OR(C90="NDD",D90="NDD",C90="",D90=""),"NDD",SUM(C90:D90)))</f>
        <v>NP</v>
      </c>
      <c r="F90" s="222"/>
      <c r="G90" s="222"/>
      <c r="H90" s="207" t="str">
        <f>IF($B$116=FALSE,"NP",IF(OR(F90="NDD",G90="NDD",F90="",G90=""),"NDD",SUM(F90:G90)))</f>
        <v>NP</v>
      </c>
      <c r="I90" s="171" t="str">
        <f>IFERROR(IF(OR($B$116=FALSE,C90="NDD",C90="",F90="NDD",F90=""),"",IF(AND(F90=0,C90=0),"OK",IF(F90/C90&lt;100,"Error!!!","OK"))),"Error!!!")</f>
        <v/>
      </c>
      <c r="J90" s="171" t="str">
        <f>IFERROR(IF(OR($B$116=FALSE,D90="NDD",D90="",G90="NDD",G90=""),"",IF(AND(G90=0,D90=0),"OK",IF(G90/D90&lt;100,"Error!!!","OK"))),"Error!!!")</f>
        <v/>
      </c>
    </row>
    <row r="91" spans="1:10" ht="15.75" thickBot="1" x14ac:dyDescent="0.3">
      <c r="A91" s="108"/>
      <c r="B91" s="138" t="s">
        <v>123</v>
      </c>
      <c r="C91" s="210" t="str">
        <f>IF($B$116=FALSE,"NP",IF(OR(COUNTIF($C$88:$C$90,"NDD"),COUNTBLANK($C$88:$C$90))=TRUE,"NDD",SUM($C$88:$C$90)))</f>
        <v>NP</v>
      </c>
      <c r="D91" s="206" t="str">
        <f>IF($B$116=FALSE,"NP",IF(OR(COUNTIF($D$88:$D$90,"NDD"),COUNTBLANK($D$88:$D$90))=TRUE,"NDD",SUM($D$88:$D$90)))</f>
        <v>NP</v>
      </c>
      <c r="E91" s="206" t="str">
        <f xml:space="preserve"> IF($B$116=FALSE,"NP",IF(COUNTIF(C91:D91,"NDD")&gt;0,"NDD",SUM(C91:D91)))</f>
        <v>NP</v>
      </c>
      <c r="F91" s="206" t="str">
        <f>IF($B$116=FALSE,"NP",IF(OR(COUNTIF($F$88:$F$90,"NDD"),COUNTBLANK($F$88:$F$90))=TRUE,"NDD",SUM($F$88:$F$90)))</f>
        <v>NP</v>
      </c>
      <c r="G91" s="206" t="str">
        <f>IF($B$116=FALSE,"NP",IF(OR(COUNTIF($G$88:$G$90,"NDD"),COUNTBLANK($G$88:$G$90))=TRUE,"NDD",SUM($G$88:$G$90)))</f>
        <v>NP</v>
      </c>
      <c r="H91" s="208" t="str">
        <f xml:space="preserve"> IF($B$116=FALSE,"NP",IF(COUNTIF(F91:G91,"NDD")&gt;0,"NDD",SUM(F91:G91)))</f>
        <v>NP</v>
      </c>
      <c r="I91" s="171"/>
      <c r="J91" s="171"/>
    </row>
    <row r="92" spans="1:10" ht="8.25" customHeight="1" x14ac:dyDescent="0.25"/>
    <row r="93" spans="1:10" x14ac:dyDescent="0.25">
      <c r="B93" s="2" t="str">
        <f>IF($B$116=FALSE,"",IF(COUNTIF(I88:J90,"Error!!!")&gt;0,"Revise las celdas en amarillo ya que el promedio de barriles por derrame está fuera del rango de interés",""))</f>
        <v/>
      </c>
    </row>
    <row r="94" spans="1:10" hidden="1" x14ac:dyDescent="0.25">
      <c r="B94" s="2" t="str">
        <f>IF($B$116=FALSE,"",IF((COUNTBLANK(C88:D90)+COUNTBLANK(F88:G90))&gt;0,"Aún existen celdas vacías, favor coloque un valor. En el caso de no existir los datos solicitados escriba NDD en la casilla correspondiente",""))</f>
        <v/>
      </c>
    </row>
    <row r="96" spans="1:10" ht="16.5" thickBot="1" x14ac:dyDescent="0.3">
      <c r="B96" s="359" t="s">
        <v>43</v>
      </c>
    </row>
    <row r="97" spans="2:17" ht="15.75" customHeight="1" thickBot="1" x14ac:dyDescent="0.3">
      <c r="C97" s="424" t="s">
        <v>44</v>
      </c>
      <c r="D97" s="425"/>
      <c r="E97" s="426"/>
      <c r="F97" s="424" t="s">
        <v>9</v>
      </c>
      <c r="G97" s="425"/>
      <c r="H97" s="426"/>
      <c r="I97" s="427" t="s">
        <v>48</v>
      </c>
      <c r="J97" s="428"/>
      <c r="K97" s="429"/>
      <c r="L97" s="427" t="s">
        <v>46</v>
      </c>
      <c r="M97" s="428" t="s">
        <v>46</v>
      </c>
      <c r="N97" s="429"/>
      <c r="O97" s="427" t="s">
        <v>47</v>
      </c>
      <c r="P97" s="428"/>
      <c r="Q97" s="429"/>
    </row>
    <row r="98" spans="2:17" ht="15.75" thickBot="1" x14ac:dyDescent="0.3">
      <c r="B98" s="92" t="s">
        <v>14</v>
      </c>
      <c r="C98" s="73" t="s">
        <v>45</v>
      </c>
      <c r="D98" s="72" t="s">
        <v>42</v>
      </c>
      <c r="E98" s="74" t="s">
        <v>3</v>
      </c>
      <c r="F98" s="73" t="s">
        <v>45</v>
      </c>
      <c r="G98" s="72" t="s">
        <v>42</v>
      </c>
      <c r="H98" s="74" t="s">
        <v>3</v>
      </c>
      <c r="I98" s="75" t="s">
        <v>45</v>
      </c>
      <c r="J98" s="3" t="s">
        <v>42</v>
      </c>
      <c r="K98" s="3" t="s">
        <v>3</v>
      </c>
      <c r="L98" s="75" t="s">
        <v>45</v>
      </c>
      <c r="M98" s="3" t="s">
        <v>42</v>
      </c>
      <c r="N98" s="3" t="s">
        <v>3</v>
      </c>
      <c r="O98" s="75" t="s">
        <v>45</v>
      </c>
      <c r="P98" s="75" t="s">
        <v>42</v>
      </c>
      <c r="Q98" s="75" t="s">
        <v>3</v>
      </c>
    </row>
    <row r="99" spans="2:17" ht="15.75" thickBot="1" x14ac:dyDescent="0.3">
      <c r="B99" s="93" t="s">
        <v>113</v>
      </c>
      <c r="C99" s="223"/>
      <c r="D99" s="224" t="str">
        <f>+D12</f>
        <v>NP</v>
      </c>
      <c r="E99" s="225" t="str">
        <f>+E12</f>
        <v>NP</v>
      </c>
      <c r="F99" s="223"/>
      <c r="G99" s="224" t="str">
        <f>+G12</f>
        <v>NP</v>
      </c>
      <c r="H99" s="225" t="str">
        <f>+H12</f>
        <v>NP</v>
      </c>
      <c r="I99" s="253" t="str">
        <f>IF($B$109=FALSE,"NP",IF(C99="NDD","NDD",+C99*1000/T3.Normalización!$E7))</f>
        <v>NP</v>
      </c>
      <c r="J99" s="254" t="str">
        <f>IF($B$109=FALSE,"NP",IF(D99="NDD","NDD",+D99*1000/T3.Normalización!$E7))</f>
        <v>NP</v>
      </c>
      <c r="K99" s="254" t="str">
        <f>IF($B$109=FALSE,"NP",IF(E99="NDD","NDD",+E99*1000/T3.Normalización!$E7))</f>
        <v>NP</v>
      </c>
      <c r="L99" s="253" t="str">
        <f>IF($B$109=FALSE,"NP",IF(F99="NDD","NDD",+F99*1000/T3.Normalización!$E7))</f>
        <v>NP</v>
      </c>
      <c r="M99" s="255" t="str">
        <f>IF($B$109=FALSE,"NP",IF(G99="NDD","NDD",+G99*1000/T3.Normalización!$E7))</f>
        <v>NP</v>
      </c>
      <c r="N99" s="255" t="str">
        <f>IF($B$109=FALSE,"NP",IF(H99="NDD","NDD",+H99*1000/T3.Normalización!$E7))</f>
        <v>NP</v>
      </c>
      <c r="O99" s="248" t="str">
        <f>IF($B$109=FALSE,"NP",IF(I99="NDD","NDD",IF(L99="NDD","NDD",L99/I99)))</f>
        <v>NP</v>
      </c>
      <c r="P99" s="249" t="str">
        <f>IF($B$109=FALSE,"NP",IF(J99="NDD","NDD",IF(M99="NDD","NDD",M99/J99)))</f>
        <v>NP</v>
      </c>
      <c r="Q99" s="249" t="str">
        <f>IF($B$109=FALSE,"NP",IF(K99="NDD","NDD",IF(N99="NDD","NDD",N99/K99)))</f>
        <v>NP</v>
      </c>
    </row>
    <row r="100" spans="2:17" x14ac:dyDescent="0.25">
      <c r="B100" s="94" t="s">
        <v>40</v>
      </c>
      <c r="C100" s="226" t="str">
        <f t="shared" ref="C100:H100" si="0">+C22</f>
        <v>NP</v>
      </c>
      <c r="D100" s="227" t="str">
        <f t="shared" si="0"/>
        <v>NP</v>
      </c>
      <c r="E100" s="228" t="str">
        <f t="shared" si="0"/>
        <v>NP</v>
      </c>
      <c r="F100" s="229" t="str">
        <f t="shared" si="0"/>
        <v>NP</v>
      </c>
      <c r="G100" s="227" t="str">
        <f t="shared" si="0"/>
        <v>NP</v>
      </c>
      <c r="H100" s="228" t="str">
        <f t="shared" si="0"/>
        <v>NP</v>
      </c>
      <c r="I100" s="256" t="str">
        <f>IF($B$110=FALSE,"NP",IF(C100="NDD","NDD",+C100*1000/T3.Normalización!$E8))</f>
        <v>NP</v>
      </c>
      <c r="J100" s="257" t="str">
        <f>IF($B$110=FALSE,"NP",IF(D100="NDD","NDD",+D100*1000/T3.Normalización!$E8))</f>
        <v>NP</v>
      </c>
      <c r="K100" s="257" t="str">
        <f>IF($B$110=FALSE,"NP",IF(E100="NDD","NDD",+E100*1000/T3.Normalización!$E8))</f>
        <v>NP</v>
      </c>
      <c r="L100" s="255" t="str">
        <f>IF($B$110=FALSE,"NP",IF(F100="NDD","NDD",+F100*1000/T3.Normalización!$E8))</f>
        <v>NP</v>
      </c>
      <c r="M100" s="257" t="str">
        <f>IF($B$110=FALSE,"NP",IF(G100="NDD","NDD",+G100*1000/T3.Normalización!$E8))</f>
        <v>NP</v>
      </c>
      <c r="N100" s="257" t="str">
        <f>IF($B$110=FALSE,"NP",IF(H100="NDD","NDD",+H100*1000/T3.Normalización!$E8))</f>
        <v>NP</v>
      </c>
      <c r="O100" s="250" t="str">
        <f>IF($B$110=FALSE,"NP",IF(I100="NDD","NDD",IF(L100="NDD","NDD",L100/I100)))</f>
        <v>NP</v>
      </c>
      <c r="P100" s="250" t="str">
        <f>IF($B$110=FALSE,"NP",IF(J100="NDD","NDD",IF(M100="NDD","NDD",M100/J100)))</f>
        <v>NP</v>
      </c>
      <c r="Q100" s="250" t="str">
        <f>IF($B$110=FALSE,"NP",IF(K100="NDD","NDD",IF(N100="NDD","NDD",N100/K100)))</f>
        <v>NP</v>
      </c>
    </row>
    <row r="101" spans="2:17" x14ac:dyDescent="0.25">
      <c r="B101" s="94" t="s">
        <v>114</v>
      </c>
      <c r="C101" s="226" t="str">
        <f t="shared" ref="C101:H101" si="1">+C32</f>
        <v>NP</v>
      </c>
      <c r="D101" s="227" t="str">
        <f t="shared" si="1"/>
        <v>NP</v>
      </c>
      <c r="E101" s="228" t="str">
        <f t="shared" si="1"/>
        <v>NP</v>
      </c>
      <c r="F101" s="226" t="str">
        <f t="shared" si="1"/>
        <v>NP</v>
      </c>
      <c r="G101" s="227" t="str">
        <f t="shared" si="1"/>
        <v>NP</v>
      </c>
      <c r="H101" s="228" t="str">
        <f t="shared" si="1"/>
        <v>NP</v>
      </c>
      <c r="I101" s="258" t="str">
        <f>IF($B$111=FALSE,"NP",IF(C101="NDD","NDD",+C101*1000/T3.Normalización!$E9))</f>
        <v>NP</v>
      </c>
      <c r="J101" s="257" t="str">
        <f>IF($B$111=FALSE,"NP",IF(D101="NDD","NDD",+D101*1000/T3.Normalización!$E9))</f>
        <v>NP</v>
      </c>
      <c r="K101" s="257" t="str">
        <f>IF($B$111=FALSE,"NP",IF(E101="NDD","NDD",+E101*1000/T3.Normalización!$E9))</f>
        <v>NP</v>
      </c>
      <c r="L101" s="257" t="str">
        <f>IF($B$111=FALSE,"NP",IF(F101="NDD","NDD",+F101*1000/T3.Normalización!$E9))</f>
        <v>NP</v>
      </c>
      <c r="M101" s="257" t="str">
        <f>IF($B$111=FALSE,"NP",IF(G101="NDD","NDD",+G101*1000/T3.Normalización!$E9))</f>
        <v>NP</v>
      </c>
      <c r="N101" s="257" t="str">
        <f>IF($B$111=FALSE,"NP",IF(H101="NDD","NDD",+H101*1000/T3.Normalización!$E9))</f>
        <v>NP</v>
      </c>
      <c r="O101" s="250" t="str">
        <f>IF($B$111=FALSE,"NP",IF(I101="NDD","NDD",IF(L101="NDD","NDD",L101/I101)))</f>
        <v>NP</v>
      </c>
      <c r="P101" s="250" t="str">
        <f>IF($B$111=FALSE,"NP",IF(J101="NDD","NDD",IF(M101="NDD","NDD",M101/J101)))</f>
        <v>NP</v>
      </c>
      <c r="Q101" s="250" t="str">
        <f>IF($B$111=FALSE,"NP",IF(K101="NDD","NDD",IF(N101="NDD","NDD",N101/K101)))</f>
        <v>NP</v>
      </c>
    </row>
    <row r="102" spans="2:17" x14ac:dyDescent="0.25">
      <c r="B102" s="95" t="s">
        <v>41</v>
      </c>
      <c r="C102" s="230" t="str">
        <f t="shared" ref="C102:H102" si="2">+C42</f>
        <v>NP</v>
      </c>
      <c r="D102" s="231" t="str">
        <f t="shared" si="2"/>
        <v>NP</v>
      </c>
      <c r="E102" s="232" t="str">
        <f t="shared" si="2"/>
        <v>NP</v>
      </c>
      <c r="F102" s="230" t="str">
        <f t="shared" si="2"/>
        <v>NP</v>
      </c>
      <c r="G102" s="231" t="str">
        <f t="shared" si="2"/>
        <v>NP</v>
      </c>
      <c r="H102" s="232" t="str">
        <f t="shared" si="2"/>
        <v>NP</v>
      </c>
      <c r="I102" s="259" t="str">
        <f>IF(AND($B$109=FALSE,$B$110=FALSE),"NP",IF(C102="NDD","NDD",+C102*1000/T3.Normalización!$E10))</f>
        <v>NP</v>
      </c>
      <c r="J102" s="260" t="str">
        <f>IF(AND($B$109=FALSE,$B$110=FALSE),"NP",IF(D102="NDD","NDD",+D102*1000/T3.Normalización!$E10))</f>
        <v>NP</v>
      </c>
      <c r="K102" s="260" t="str">
        <f>IF(AND($B$109=FALSE,$B$110=FALSE),"NP",IF(E102="NDD","NDD",+E102*1000/T3.Normalización!$E10))</f>
        <v>NP</v>
      </c>
      <c r="L102" s="260" t="str">
        <f>IF(AND($B$109=FALSE,$B$110=FALSE),"NP",IF(F102="NDD","NDD",+F102*1000/T3.Normalización!$E10))</f>
        <v>NP</v>
      </c>
      <c r="M102" s="260" t="str">
        <f>IF(AND($B$109=FALSE,$B$110=FALSE),"NP",IF(G102="NDD","NDD",+G102*1000/T3.Normalización!$E10))</f>
        <v>NP</v>
      </c>
      <c r="N102" s="260" t="str">
        <f>IF(AND($B$109=FALSE,$B$110=FALSE),"NP",IF(H102="NDD","NDD",+H102*1000/T3.Normalización!$E10))</f>
        <v>NP</v>
      </c>
      <c r="O102" s="251" t="str">
        <f>IF(AND($B$109=FALSE,$B$110=FALSE),"NP",IF(I102="NDD","NDD",IF(L102="NDD","NDD",+L102/I102)))</f>
        <v>NP</v>
      </c>
      <c r="P102" s="251" t="str">
        <f>IF(AND($B$109=FALSE,$B$110=FALSE),"NP",IF(J102="NDD","NDD",IF(M102="NDD","NDD",+M102/J102)))</f>
        <v>NP</v>
      </c>
      <c r="Q102" s="251" t="str">
        <f>IF(AND($B$109=FALSE,$B$110=FALSE),"NP",IF(K102="NDD","NDD",IF(N102="NDD","NDD",+N102/K102)))</f>
        <v>NP</v>
      </c>
    </row>
    <row r="103" spans="2:17" x14ac:dyDescent="0.25">
      <c r="B103" s="96" t="s">
        <v>10</v>
      </c>
      <c r="C103" s="233" t="str">
        <f t="shared" ref="C103:H103" si="3">+C51</f>
        <v>NP</v>
      </c>
      <c r="D103" s="234" t="str">
        <f t="shared" si="3"/>
        <v>NP</v>
      </c>
      <c r="E103" s="235" t="str">
        <f t="shared" si="3"/>
        <v>NP</v>
      </c>
      <c r="F103" s="233" t="str">
        <f t="shared" si="3"/>
        <v>NP</v>
      </c>
      <c r="G103" s="234" t="str">
        <f t="shared" si="3"/>
        <v>NP</v>
      </c>
      <c r="H103" s="235" t="str">
        <f t="shared" si="3"/>
        <v>NP</v>
      </c>
      <c r="I103" s="258" t="str">
        <f>IF($B$112=FALSE,"NP",IF(C103="NDD","NDD",+C103*1000/T3.Normalización!$E11))</f>
        <v>NP</v>
      </c>
      <c r="J103" s="257" t="str">
        <f>IF($B$112=FALSE,"NP",IF(D103="NDD","NDD",+D103*1000/T3.Normalización!$E11))</f>
        <v>NP</v>
      </c>
      <c r="K103" s="257" t="str">
        <f>IF($B$112=FALSE,"NP",IF(E103="NDD","NDD",+E103*1000/T3.Normalización!$E11))</f>
        <v>NP</v>
      </c>
      <c r="L103" s="257" t="str">
        <f>IF($B$112=FALSE,"NP",IF(F103="NDD","NDD",+F103*1000/T3.Normalización!$E11))</f>
        <v>NP</v>
      </c>
      <c r="M103" s="257" t="str">
        <f>IF($B$112=FALSE,"NP",IF(G103="NDD","NDD",+G103*1000/T3.Normalización!$E11))</f>
        <v>NP</v>
      </c>
      <c r="N103" s="257" t="str">
        <f>IF($B$112=FALSE,"NP",IF(H103="NDD","NDD",+H103*1000/T3.Normalización!$E11))</f>
        <v>NP</v>
      </c>
      <c r="O103" s="250" t="str">
        <f>IF($B$112=FALSE,"NP",IF(I103="NDD","NDD",IF(L103="NDD","NDD",L103/I103)))</f>
        <v>NP</v>
      </c>
      <c r="P103" s="250" t="str">
        <f>IF($B$112=FALSE,"NP",IF(J103="NDD","NDD",IF(M103="NDD","NDD",M103/J103)))</f>
        <v>NP</v>
      </c>
      <c r="Q103" s="250" t="str">
        <f>IF($B$112=FALSE,"NP",IF(K103="NDD","NDD",IF(N103="NDD","NDD",N103/K103)))</f>
        <v>NP</v>
      </c>
    </row>
    <row r="104" spans="2:17" x14ac:dyDescent="0.25">
      <c r="B104" s="97" t="s">
        <v>11</v>
      </c>
      <c r="C104" s="236" t="str">
        <f t="shared" ref="C104:H104" si="4">+C61</f>
        <v>NP</v>
      </c>
      <c r="D104" s="237" t="str">
        <f t="shared" si="4"/>
        <v>NP</v>
      </c>
      <c r="E104" s="238" t="str">
        <f t="shared" si="4"/>
        <v>NP</v>
      </c>
      <c r="F104" s="236" t="str">
        <f t="shared" si="4"/>
        <v>NP</v>
      </c>
      <c r="G104" s="237" t="str">
        <f t="shared" si="4"/>
        <v>NP</v>
      </c>
      <c r="H104" s="238" t="str">
        <f t="shared" si="4"/>
        <v>NP</v>
      </c>
      <c r="I104" s="258" t="str">
        <f>IF($B$113=FALSE,"NP",IF(C104="NDD","NDD",+C104*1000/T3.Normalización!$E12))</f>
        <v>NP</v>
      </c>
      <c r="J104" s="257" t="str">
        <f>IF($B$113=FALSE,"NP",IF(D104="NDD","NDD",+D104*1000/T3.Normalización!$E12))</f>
        <v>NP</v>
      </c>
      <c r="K104" s="257" t="str">
        <f>IF($B$113=FALSE,"NP",IF(E104="NDD","NDD",+E104*1000/T3.Normalización!$E12))</f>
        <v>NP</v>
      </c>
      <c r="L104" s="257" t="str">
        <f>IF($B$113=FALSE,"NP",IF(F104="NDD","NDD",+F104*1000/T3.Normalización!$E12))</f>
        <v>NP</v>
      </c>
      <c r="M104" s="257" t="str">
        <f>IF($B$113=FALSE,"NP",IF(G104="NDD","NDD",+G104*1000/T3.Normalización!$E12))</f>
        <v>NP</v>
      </c>
      <c r="N104" s="257" t="str">
        <f>IF($B$113=FALSE,"NP",IF(H104="NDD","NDD",+H104*1000/T3.Normalización!$E12))</f>
        <v>NP</v>
      </c>
      <c r="O104" s="250" t="str">
        <f>IF($B$113=FALSE,"NP",IF(I104="NDD","NDD",IF(L104="NDD","NDD",L104/I104)))</f>
        <v>NP</v>
      </c>
      <c r="P104" s="250" t="str">
        <f>IF($B$113=FALSE,"NP",IF(J104="NDD","NDD",IF(M104="NDD","NDD",M104/J104)))</f>
        <v>NP</v>
      </c>
      <c r="Q104" s="250" t="str">
        <f>IF($B$113=FALSE,"NP",IF(K104="NDD","NDD",IF(N104="NDD","NDD",N104/K104)))</f>
        <v>NP</v>
      </c>
    </row>
    <row r="105" spans="2:17" x14ac:dyDescent="0.25">
      <c r="B105" s="98" t="s">
        <v>13</v>
      </c>
      <c r="C105" s="239" t="str">
        <f t="shared" ref="C105:H105" si="5">+C71</f>
        <v>NP</v>
      </c>
      <c r="D105" s="240" t="str">
        <f t="shared" si="5"/>
        <v>NP</v>
      </c>
      <c r="E105" s="241" t="str">
        <f t="shared" si="5"/>
        <v>NP</v>
      </c>
      <c r="F105" s="239" t="str">
        <f t="shared" si="5"/>
        <v>NP</v>
      </c>
      <c r="G105" s="240" t="str">
        <f t="shared" si="5"/>
        <v>NP</v>
      </c>
      <c r="H105" s="241" t="str">
        <f t="shared" si="5"/>
        <v>NP</v>
      </c>
      <c r="I105" s="258" t="str">
        <f>IF($B$114=FALSE,"NP",IF(C105="NDD","NDD",+C105*1000/T3.Normalización!$E13))</f>
        <v>NP</v>
      </c>
      <c r="J105" s="257" t="str">
        <f>IF($B$114=FALSE,"NP",IF(D105="NDD","NDD",+D105*1000/T3.Normalización!$E13))</f>
        <v>NP</v>
      </c>
      <c r="K105" s="257" t="str">
        <f>IF($B$114=FALSE,"NP",IF(E105="NDD","NDD",+E105*1000/T3.Normalización!$E13))</f>
        <v>NP</v>
      </c>
      <c r="L105" s="257" t="str">
        <f>IF($B$114=FALSE,"NP",IF(F105="NDD","NDD",+F105*1000/T3.Normalización!$E13))</f>
        <v>NP</v>
      </c>
      <c r="M105" s="257" t="str">
        <f>IF($B$114=FALSE,"NP",IF(G105="NDD","NDD",+G105*1000/T3.Normalización!$E13))</f>
        <v>NP</v>
      </c>
      <c r="N105" s="257" t="str">
        <f>IF($B$114=FALSE,"NP",IF(H105="NDD","NDD",+H105*1000/T3.Normalización!$E13))</f>
        <v>NP</v>
      </c>
      <c r="O105" s="250" t="str">
        <f>IF($B$114=FALSE,"NP",IF(I105="NDD","NDD",IF(L105="NDD","NDD",L105/I105)))</f>
        <v>NP</v>
      </c>
      <c r="P105" s="250" t="str">
        <f>IF($B$114=FALSE,"NP",IF(J105="NDD","NDD",IF(M105="NDD","NDD",M105/J105)))</f>
        <v>NP</v>
      </c>
      <c r="Q105" s="250" t="str">
        <f>IF($B$114=FALSE,"NP",IF(K105="NDD","NDD",IF(N105="NDD","NDD",N105/K105)))</f>
        <v>NP</v>
      </c>
    </row>
    <row r="106" spans="2:17" x14ac:dyDescent="0.25">
      <c r="B106" s="99" t="s">
        <v>12</v>
      </c>
      <c r="C106" s="242" t="str">
        <f t="shared" ref="C106:H106" si="6">+C81</f>
        <v>NP</v>
      </c>
      <c r="D106" s="243" t="str">
        <f t="shared" si="6"/>
        <v>NP</v>
      </c>
      <c r="E106" s="244" t="str">
        <f t="shared" si="6"/>
        <v>NP</v>
      </c>
      <c r="F106" s="242" t="str">
        <f t="shared" si="6"/>
        <v>NP</v>
      </c>
      <c r="G106" s="243" t="str">
        <f t="shared" si="6"/>
        <v>NP</v>
      </c>
      <c r="H106" s="244" t="str">
        <f t="shared" si="6"/>
        <v>NP</v>
      </c>
      <c r="I106" s="258" t="str">
        <f>IF($B$115=FALSE,"NP",IF(C106="NDD","NDD",+C106*1000/T3.Normalización!$E14))</f>
        <v>NP</v>
      </c>
      <c r="J106" s="257" t="str">
        <f>IF($B$115=FALSE,"NP",IF(D106="NDD","NDD",+D106*1000/T3.Normalización!$E14))</f>
        <v>NP</v>
      </c>
      <c r="K106" s="257" t="str">
        <f>IF($B$115=FALSE,"NP",IF(E106="NDD","NDD",+E106*1000/T3.Normalización!$E14))</f>
        <v>NP</v>
      </c>
      <c r="L106" s="257" t="str">
        <f>IF($B$115=FALSE,"NP",IF(F106="NDD","NDD",+F106*1000/T3.Normalización!$E14))</f>
        <v>NP</v>
      </c>
      <c r="M106" s="257" t="str">
        <f>IF($B$115=FALSE,"NP",IF(G106="NDD","NDD",+G106*1000/T3.Normalización!$E14))</f>
        <v>NP</v>
      </c>
      <c r="N106" s="257" t="str">
        <f>IF($B$115=FALSE,"NP",IF(H106="NDD","NDD",+H106*1000/T3.Normalización!$E14))</f>
        <v>NP</v>
      </c>
      <c r="O106" s="250" t="str">
        <f>IF($B$115=FALSE,"NP",IF(I106="NDD","NDD",IF(L106="NDD","NDD",L106/I106)))</f>
        <v>NP</v>
      </c>
      <c r="P106" s="250" t="str">
        <f>IF($B$115=FALSE,"NP",IF(J106="NDD","NDD",IF(M106="NDD","NDD",M106/J106)))</f>
        <v>NP</v>
      </c>
      <c r="Q106" s="250" t="str">
        <f>IF($B$115=FALSE,"NP",IF(K106="NDD","NDD",IF(N106="NDD","NDD",N106/K106)))</f>
        <v>NP</v>
      </c>
    </row>
    <row r="107" spans="2:17" ht="15.75" thickBot="1" x14ac:dyDescent="0.3">
      <c r="B107" s="100" t="s">
        <v>20</v>
      </c>
      <c r="C107" s="245" t="str">
        <f t="shared" ref="C107:H107" si="7">+C91</f>
        <v>NP</v>
      </c>
      <c r="D107" s="246" t="str">
        <f t="shared" si="7"/>
        <v>NP</v>
      </c>
      <c r="E107" s="247" t="str">
        <f t="shared" si="7"/>
        <v>NP</v>
      </c>
      <c r="F107" s="245" t="str">
        <f t="shared" si="7"/>
        <v>NP</v>
      </c>
      <c r="G107" s="246" t="str">
        <f t="shared" si="7"/>
        <v>NP</v>
      </c>
      <c r="H107" s="247" t="str">
        <f t="shared" si="7"/>
        <v>NP</v>
      </c>
      <c r="I107" s="261" t="str">
        <f>IF($B$116=FALSE,"NP",IF(C107="NDD","NDD",+C107*1000/T3.Normalización!$E15))</f>
        <v>NP</v>
      </c>
      <c r="J107" s="262" t="str">
        <f>IF($B$116=FALSE,"NP",IF(D107="NDD","NDD",+D107*1000/T3.Normalización!$E15))</f>
        <v>NP</v>
      </c>
      <c r="K107" s="262" t="str">
        <f>IF($B$116=FALSE,"NP",IF(E107="NDD","NDD",+E107*1000/T3.Normalización!$E15))</f>
        <v>NP</v>
      </c>
      <c r="L107" s="262" t="str">
        <f>IF($B$116=FALSE,"NP",IF(F107="NDD","NDD",+F107*1000/T3.Normalización!$E15))</f>
        <v>NP</v>
      </c>
      <c r="M107" s="262" t="str">
        <f>IF($B$116=FALSE,"NP",IF(G107="NDD","NDD",+G107*1000/T3.Normalización!$E15))</f>
        <v>NP</v>
      </c>
      <c r="N107" s="262" t="str">
        <f>IF($B$116=FALSE,"NP",IF(H107="NDD","NDD",+H107*1000/T3.Normalización!$E15))</f>
        <v>NP</v>
      </c>
      <c r="O107" s="252" t="str">
        <f>IF($B$116=FALSE,"NP",IF(I107="NDD","NDD",IF(L107="NDD","NDD",L107/I107)))</f>
        <v>NP</v>
      </c>
      <c r="P107" s="252" t="str">
        <f>IF($B$116=FALSE,"NP",IF(J107="NDD","NDD",IF(M107="NDD","NDD",M107/J107)))</f>
        <v>NP</v>
      </c>
      <c r="Q107" s="252" t="str">
        <f>IF($B$116=FALSE,"NP",IF(K107="NDD","NDD",IF(N107="NDD","NDD",N107/K107)))</f>
        <v>NP</v>
      </c>
    </row>
    <row r="109" spans="2:17" x14ac:dyDescent="0.25">
      <c r="B109" s="184" t="b">
        <f>+T1.Contacto!B15</f>
        <v>0</v>
      </c>
    </row>
    <row r="110" spans="2:17" x14ac:dyDescent="0.25">
      <c r="B110" s="184" t="b">
        <f>+T1.Contacto!B16</f>
        <v>0</v>
      </c>
    </row>
    <row r="111" spans="2:17" x14ac:dyDescent="0.25">
      <c r="B111" s="184" t="b">
        <f>+T1.Contacto!B17</f>
        <v>0</v>
      </c>
    </row>
    <row r="112" spans="2:17" x14ac:dyDescent="0.25">
      <c r="B112" s="184" t="b">
        <f>+T1.Contacto!B18</f>
        <v>0</v>
      </c>
    </row>
    <row r="113" spans="2:2" x14ac:dyDescent="0.25">
      <c r="B113" s="184" t="b">
        <f>+T1.Contacto!B19</f>
        <v>0</v>
      </c>
    </row>
    <row r="114" spans="2:2" x14ac:dyDescent="0.25">
      <c r="B114" s="184" t="b">
        <f>+T1.Contacto!B20</f>
        <v>0</v>
      </c>
    </row>
    <row r="115" spans="2:2" x14ac:dyDescent="0.25">
      <c r="B115" s="184" t="b">
        <f>+T1.Contacto!B21</f>
        <v>0</v>
      </c>
    </row>
    <row r="116" spans="2:2" x14ac:dyDescent="0.25">
      <c r="B116" s="184" t="b">
        <f>+T1.Contacto!B22</f>
        <v>0</v>
      </c>
    </row>
  </sheetData>
  <mergeCells count="34">
    <mergeCell ref="C17:E17"/>
    <mergeCell ref="F17:H17"/>
    <mergeCell ref="C27:E27"/>
    <mergeCell ref="F27:H27"/>
    <mergeCell ref="C46:E46"/>
    <mergeCell ref="F46:H46"/>
    <mergeCell ref="A57:B57"/>
    <mergeCell ref="A47:B47"/>
    <mergeCell ref="A38:B38"/>
    <mergeCell ref="O97:Q97"/>
    <mergeCell ref="C56:E56"/>
    <mergeCell ref="F56:H56"/>
    <mergeCell ref="C66:E66"/>
    <mergeCell ref="F66:H66"/>
    <mergeCell ref="C76:E76"/>
    <mergeCell ref="F76:H76"/>
    <mergeCell ref="C86:E86"/>
    <mergeCell ref="F86:H86"/>
    <mergeCell ref="A1:H1"/>
    <mergeCell ref="A3:C3"/>
    <mergeCell ref="F97:H97"/>
    <mergeCell ref="I97:K97"/>
    <mergeCell ref="L97:N97"/>
    <mergeCell ref="C7:E7"/>
    <mergeCell ref="F7:H7"/>
    <mergeCell ref="C37:E37"/>
    <mergeCell ref="F37:H37"/>
    <mergeCell ref="C97:E97"/>
    <mergeCell ref="A28:B28"/>
    <mergeCell ref="A18:B18"/>
    <mergeCell ref="A8:B8"/>
    <mergeCell ref="A87:B87"/>
    <mergeCell ref="A77:B77"/>
    <mergeCell ref="A67:B67"/>
  </mergeCells>
  <phoneticPr fontId="1" type="noConversion"/>
  <conditionalFormatting sqref="C100:Q100 A19:H22">
    <cfRule type="expression" dxfId="66" priority="31">
      <formula>$B$110=FALSE</formula>
    </cfRule>
  </conditionalFormatting>
  <conditionalFormatting sqref="C101:Q101 A29:H32">
    <cfRule type="expression" dxfId="65" priority="30">
      <formula>$B$111=FALSE</formula>
    </cfRule>
  </conditionalFormatting>
  <conditionalFormatting sqref="A39:H42 C102:Q102">
    <cfRule type="expression" dxfId="64" priority="29">
      <formula>AND($B$109=FALSE,$B$110=FALSE)</formula>
    </cfRule>
  </conditionalFormatting>
  <conditionalFormatting sqref="C103:Q103 A48:H51">
    <cfRule type="expression" dxfId="63" priority="28">
      <formula>$B$112=FALSE</formula>
    </cfRule>
  </conditionalFormatting>
  <conditionalFormatting sqref="C104:Q104 A58:H61">
    <cfRule type="expression" dxfId="62" priority="27">
      <formula>$B$113=FALSE</formula>
    </cfRule>
  </conditionalFormatting>
  <conditionalFormatting sqref="C105:Q105 A68:H71">
    <cfRule type="expression" dxfId="61" priority="26">
      <formula>$B$114=FALSE</formula>
    </cfRule>
  </conditionalFormatting>
  <conditionalFormatting sqref="C106:Q106 A78:H81">
    <cfRule type="expression" dxfId="60" priority="25">
      <formula>$B$115=FALSE</formula>
    </cfRule>
  </conditionalFormatting>
  <conditionalFormatting sqref="C107:Q107 A88:H91">
    <cfRule type="expression" dxfId="59" priority="24">
      <formula>$B$116=FALSE</formula>
    </cfRule>
  </conditionalFormatting>
  <conditionalFormatting sqref="C99:Q99 A9:H12">
    <cfRule type="expression" dxfId="58" priority="22">
      <formula>$B$109=FALSE</formula>
    </cfRule>
  </conditionalFormatting>
  <conditionalFormatting sqref="D9:D11 G9:G11 D19:D21 G19:G21 D39:D41 G39:G41 D48:D50 G48:G50 D58:D60 G58:G60 D68:D70 G68:G70 D78:D80 G78:G80 D88:D90 G88:G90 D29:D31 G29:G31">
    <cfRule type="expression" dxfId="57" priority="17">
      <formula>$J9="Error!!!"</formula>
    </cfRule>
  </conditionalFormatting>
  <conditionalFormatting sqref="C19:C21 F19:F21 C39:C41 F39:F41 C48:C50 F48:F50 C58:C60 F58:F60 C68:C70 F68:F70 C78:C80 F78:F80 C88:C90 F88:F90 C29:C31 F29:F31">
    <cfRule type="expression" dxfId="56" priority="16">
      <formula>$I19="Error!!!"</formula>
    </cfRule>
  </conditionalFormatting>
  <conditionalFormatting sqref="B14:B15 B24:B25 B34:B35 B44 B53:B54 B63:B64 B73:B74 B83:B84 B93:B94">
    <cfRule type="cellIs" dxfId="55" priority="1" operator="notEqual">
      <formula>""""""</formula>
    </cfRule>
  </conditionalFormatting>
  <pageMargins left="0.17" right="0.17" top="0.78740157480314965" bottom="0.78740157480314965" header="0.19" footer="0"/>
  <pageSetup paperSize="9" scale="62" fitToWidth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8"/>
  <sheetViews>
    <sheetView showGridLines="0" zoomScale="75" zoomScaleNormal="75" workbookViewId="0">
      <selection activeCell="G11" sqref="G11"/>
    </sheetView>
  </sheetViews>
  <sheetFormatPr baseColWidth="10" defaultRowHeight="12.75" x14ac:dyDescent="0.2"/>
  <cols>
    <col min="1" max="4" width="34.28515625" style="17" customWidth="1"/>
    <col min="5" max="5" width="3.5703125" style="17" customWidth="1"/>
    <col min="6" max="6" width="9.28515625" style="17" customWidth="1"/>
    <col min="7" max="16384" width="11.42578125" style="17"/>
  </cols>
  <sheetData>
    <row r="1" spans="1:10" ht="54.75" customHeight="1" x14ac:dyDescent="0.2">
      <c r="A1" s="409" t="s">
        <v>153</v>
      </c>
      <c r="B1" s="409"/>
      <c r="C1" s="409"/>
      <c r="D1" s="409"/>
      <c r="E1" s="23"/>
      <c r="F1" s="23"/>
      <c r="G1" s="23"/>
      <c r="H1" s="23"/>
      <c r="I1" s="23"/>
      <c r="J1" s="23"/>
    </row>
    <row r="2" spans="1:10" s="32" customFormat="1" ht="18.75" x14ac:dyDescent="0.2">
      <c r="A2" s="30"/>
      <c r="B2" s="30"/>
      <c r="C2" s="30"/>
      <c r="D2" s="30"/>
      <c r="E2" s="39"/>
      <c r="F2" s="39"/>
      <c r="G2" s="39"/>
      <c r="H2" s="39"/>
      <c r="I2" s="39"/>
      <c r="J2" s="39"/>
    </row>
    <row r="3" spans="1:10" ht="30" customHeight="1" thickBot="1" x14ac:dyDescent="0.25">
      <c r="A3" s="473" t="s">
        <v>27</v>
      </c>
      <c r="B3" s="473"/>
      <c r="C3" s="473"/>
      <c r="D3" s="473"/>
      <c r="E3" s="23"/>
      <c r="F3" s="23"/>
      <c r="G3" s="23"/>
      <c r="H3" s="23"/>
      <c r="I3" s="23"/>
      <c r="J3" s="23"/>
    </row>
    <row r="4" spans="1:10" ht="30.75" thickBot="1" x14ac:dyDescent="0.25">
      <c r="A4" s="92" t="s">
        <v>14</v>
      </c>
      <c r="B4" s="58" t="s">
        <v>49</v>
      </c>
      <c r="C4" s="58" t="s">
        <v>23</v>
      </c>
      <c r="D4" s="58" t="s">
        <v>50</v>
      </c>
    </row>
    <row r="5" spans="1:10" ht="15.75" thickBot="1" x14ac:dyDescent="0.3">
      <c r="A5" s="109" t="s">
        <v>106</v>
      </c>
      <c r="B5" s="123"/>
      <c r="C5" s="123"/>
      <c r="D5" s="123"/>
      <c r="F5" s="183" t="str">
        <f>IF(AND($A23=TRUE,COUNTBLANK(B5:D5)&gt;0),"Existen celdas vacías en Producción costa afuera, favor completar","")</f>
        <v/>
      </c>
    </row>
    <row r="6" spans="1:10" ht="15.75" thickBot="1" x14ac:dyDescent="0.3">
      <c r="A6" s="109" t="s">
        <v>107</v>
      </c>
      <c r="B6" s="123"/>
      <c r="C6" s="123"/>
      <c r="D6" s="123"/>
      <c r="F6" s="183" t="str">
        <f>IF(AND($A24=TRUE,COUNTBLANK(B6:D6)&gt;0),"Existen celdas vacías en Producción en tierra, favor completar","")</f>
        <v/>
      </c>
    </row>
    <row r="7" spans="1:10" ht="15.75" thickBot="1" x14ac:dyDescent="0.3">
      <c r="A7" s="109" t="s">
        <v>108</v>
      </c>
      <c r="B7" s="123"/>
      <c r="C7" s="123"/>
      <c r="D7" s="123"/>
      <c r="F7" s="183" t="str">
        <f>IF(AND($A25=TRUE,COUNTBLANK(B7:D7)&gt;0),"Existen celdas vacías en Producción no convencionales, favor completar","")</f>
        <v/>
      </c>
    </row>
    <row r="8" spans="1:10" ht="15.75" thickBot="1" x14ac:dyDescent="0.25">
      <c r="A8" s="148" t="s">
        <v>41</v>
      </c>
      <c r="B8" s="151" t="str">
        <f>IF(AND($A$23=FALSE,$A$24=FALSE),"NP",IF(AND($A$23=TRUE,OR(B5="",B5="NDD")),"NDD",IF(AND($A$24=TRUE,OR(B6="",B6="NDD")),"NDD",SUM(B5:B6))))</f>
        <v>NP</v>
      </c>
      <c r="C8" s="151" t="str">
        <f>IF(AND($A$23=FALSE,$A$24=FALSE),"NP",IF(AND($A$23=TRUE,OR(C5="",C5="NDD")),"NDD",IF(AND($A$24=TRUE,OR(C6="",C6="NDD")),"NDD",SUM(C5:C6))))</f>
        <v>NP</v>
      </c>
      <c r="D8" s="151" t="str">
        <f>IF(AND($A$23=FALSE,$A$24=FALSE),"NP",IF(AND($A$23=TRUE,OR(D5="",D5="NDD")),"NDD",IF(AND($A$24=TRUE,OR(D6="",D6="NDD")),"NDD",SUM(D5:D6))))</f>
        <v>NP</v>
      </c>
    </row>
    <row r="9" spans="1:10" ht="15.75" thickBot="1" x14ac:dyDescent="0.25">
      <c r="A9" s="147" t="s">
        <v>33</v>
      </c>
      <c r="B9" s="263" t="str">
        <f>IF($A$23=FALSE,"NP",IF(OR(B5="NDD",B5=""),"NDD",B5/T3.Normalización!$E7))</f>
        <v>NP</v>
      </c>
      <c r="C9" s="276" t="str">
        <f>IF($A$23=FALSE,"NP",IF(OR(C5="NDD",C5=""),"NDD",C5*1000/T3.Normalización!$E7))</f>
        <v>NP</v>
      </c>
      <c r="D9" s="263" t="str">
        <f>IF($A$23=FALSE,"NP",IF(OR(D5="NDD",D5=""),"NDD",D5/T3.Normalización!$E7))</f>
        <v>NP</v>
      </c>
    </row>
    <row r="10" spans="1:10" ht="15.75" thickBot="1" x14ac:dyDescent="0.25">
      <c r="A10" s="147" t="s">
        <v>34</v>
      </c>
      <c r="B10" s="263" t="str">
        <f>IF($A$24=FALSE,"NP",IF(OR(B6="NDD",B6=""),"NDD",B6/T3.Normalización!$E8))</f>
        <v>NP</v>
      </c>
      <c r="C10" s="276" t="str">
        <f>IF($A$24=FALSE,"NP",IF(OR(C6="NDD",C6=""),"NDD",C6*1000/T3.Normalización!$E8))</f>
        <v>NP</v>
      </c>
      <c r="D10" s="263" t="str">
        <f>IF($A$24=FALSE,"NP",IF(OR(D6="NDD",D6=""),"NDD",D6/T3.Normalización!$E8))</f>
        <v>NP</v>
      </c>
    </row>
    <row r="11" spans="1:10" ht="15.75" thickBot="1" x14ac:dyDescent="0.25">
      <c r="A11" s="147" t="s">
        <v>35</v>
      </c>
      <c r="B11" s="263" t="str">
        <f>IF($A$25=FALSE,"NP",IF(OR(B7="NDD",B7=""),"NDD",B7/T3.Normalización!$E9))</f>
        <v>NP</v>
      </c>
      <c r="C11" s="276" t="str">
        <f>IF($A$25=FALSE,"NP",IF(OR(C7="NDD",C7=""),"NDD",C7*1000/T3.Normalización!$E9))</f>
        <v>NP</v>
      </c>
      <c r="D11" s="263" t="str">
        <f>IF($A$25=FALSE,"NP",IF(OR(D7="NDD",D7=""),"NDD",D7/T3.Normalización!$E9))</f>
        <v>NP</v>
      </c>
    </row>
    <row r="12" spans="1:10" ht="15.75" thickBot="1" x14ac:dyDescent="0.25">
      <c r="A12" s="147" t="s">
        <v>36</v>
      </c>
      <c r="B12" s="263" t="str">
        <f>IF(AND($A$23=FALSE,$A$24=FALSE),"NP",IF(B8="NDD","NDD",B8/T3.Normalización!$E10))</f>
        <v>NP</v>
      </c>
      <c r="C12" s="276" t="str">
        <f>IF(AND($A$23=FALSE,$A$24=FALSE),"NP",IF(C8="NDD","NDD",C8*1000/T3.Normalización!$E10))</f>
        <v>NP</v>
      </c>
      <c r="D12" s="263" t="str">
        <f>IF(AND($A$23=FALSE,$A$24=FALSE),"NP",IF(D8="NDD","NDD",D8/T3.Normalización!$E10))</f>
        <v>NP</v>
      </c>
    </row>
    <row r="13" spans="1:10" s="32" customFormat="1" ht="16.5" thickBot="1" x14ac:dyDescent="0.25">
      <c r="A13" s="472"/>
      <c r="B13" s="472"/>
      <c r="C13" s="472"/>
      <c r="D13" s="472"/>
    </row>
    <row r="14" spans="1:10" ht="25.5" customHeight="1" thickBot="1" x14ac:dyDescent="0.25">
      <c r="A14" s="474" t="s">
        <v>17</v>
      </c>
      <c r="B14" s="475"/>
      <c r="C14" s="475"/>
      <c r="D14" s="476"/>
      <c r="E14" s="22"/>
    </row>
    <row r="15" spans="1:10" ht="15.75" x14ac:dyDescent="0.2">
      <c r="A15" s="38"/>
      <c r="B15" s="38"/>
      <c r="C15" s="38"/>
    </row>
    <row r="16" spans="1:10" ht="15.75" x14ac:dyDescent="0.2">
      <c r="A16" s="182" t="str">
        <f>IF(OR($A$23=FALSE,B5=""),"",IF(B5=T6.Efluentes!C6,"Agua de producción descargada (Tabla 5) es igual al Agua total de proceso descargada (Tabla 6) para 'Producción (costa afuera)', favor revisar.",""))</f>
        <v/>
      </c>
      <c r="B16" s="38"/>
      <c r="C16" s="38"/>
    </row>
    <row r="17" spans="1:2" ht="15.75" x14ac:dyDescent="0.2">
      <c r="A17" s="182" t="str">
        <f>IF(OR($A$24=FALSE,B6=""),"",IF(B6=T6.Efluentes!C7,"Agua de producción descargada (Tabla 5) es igual al Agua total de proceso descargada (Tabla 6) para 'Producción (en tierra)', favor revisar.",""))</f>
        <v/>
      </c>
    </row>
    <row r="18" spans="1:2" ht="15.75" x14ac:dyDescent="0.2">
      <c r="A18" s="182" t="str">
        <f>IF(OR($A$25=FALSE,B7=""),"",IF(B7=T6.Efluentes!C8,"Agua de producción descargada (Tabla 5) es igual al Agua total de proceso descargada (Tabla 6) para 'Producción (no convencionales)', favor revisar.",""))</f>
        <v/>
      </c>
    </row>
    <row r="19" spans="1:2" ht="15.75" x14ac:dyDescent="0.2">
      <c r="A19" s="182" t="str">
        <f>IF(OR($A$23=FALSE,C5=""),"",IF(C5=T6.Efluentes!D6,"Descarga de petróleo en agua de producción (Tabla 5) es igual a descarga de petróleo en agua totalefluente (Tabla 6) para 'Producción (costa afuera)', favor revisar.",""))</f>
        <v/>
      </c>
      <c r="B19" s="153"/>
    </row>
    <row r="20" spans="1:2" ht="15.75" x14ac:dyDescent="0.2">
      <c r="A20" s="182" t="str">
        <f>IF(OR($A$24=FALSE,C6=""),"",IF(C6=T6.Efluentes!D7,"Descarga de petróleo en agua de producción (Tabla 5) es igual a descarga de petróleo en agua total efluente (Tabla 6) para 'Producción (en tierra)', favor revisar.",""))</f>
        <v/>
      </c>
      <c r="B20" s="153"/>
    </row>
    <row r="21" spans="1:2" ht="15.75" x14ac:dyDescent="0.2">
      <c r="A21" s="182" t="str">
        <f>IF(OR($A$25=FALSE,C7=""),"",IF(C7=T6.Efluentes!D8,"Descarga de petróleo en agua de producción (Tabla 5) es igual al descarga de petróleo en agua total efluente (Tabla 6) para 'Producción (no convencionales)', favor revisar.",""))</f>
        <v/>
      </c>
      <c r="B21" s="153"/>
    </row>
    <row r="22" spans="1:2" x14ac:dyDescent="0.2">
      <c r="A22" s="167"/>
      <c r="B22" s="153"/>
    </row>
    <row r="23" spans="1:2" x14ac:dyDescent="0.2">
      <c r="A23" s="185" t="b">
        <f>+T1.Contacto!B15</f>
        <v>0</v>
      </c>
    </row>
    <row r="24" spans="1:2" x14ac:dyDescent="0.2">
      <c r="A24" s="185" t="b">
        <f>+T1.Contacto!B16</f>
        <v>0</v>
      </c>
    </row>
    <row r="25" spans="1:2" x14ac:dyDescent="0.2">
      <c r="A25" s="185" t="b">
        <f>+T1.Contacto!B17</f>
        <v>0</v>
      </c>
    </row>
    <row r="26" spans="1:2" x14ac:dyDescent="0.2">
      <c r="A26" s="167"/>
    </row>
    <row r="27" spans="1:2" x14ac:dyDescent="0.2">
      <c r="A27" s="167"/>
    </row>
    <row r="28" spans="1:2" x14ac:dyDescent="0.2">
      <c r="A28" s="167"/>
    </row>
  </sheetData>
  <mergeCells count="4">
    <mergeCell ref="A13:D13"/>
    <mergeCell ref="A3:D3"/>
    <mergeCell ref="A1:D1"/>
    <mergeCell ref="A14:D14"/>
  </mergeCells>
  <phoneticPr fontId="1" type="noConversion"/>
  <conditionalFormatting sqref="B5:D5 B9:D9">
    <cfRule type="expression" dxfId="54" priority="4">
      <formula>$A$23=FALSE</formula>
    </cfRule>
  </conditionalFormatting>
  <conditionalFormatting sqref="B6:D6 B10:D10">
    <cfRule type="expression" dxfId="53" priority="3">
      <formula>$A$24=FALSE</formula>
    </cfRule>
  </conditionalFormatting>
  <conditionalFormatting sqref="B7:D7 B11:D11">
    <cfRule type="expression" dxfId="52" priority="2">
      <formula>$A$25=FALSE</formula>
    </cfRule>
  </conditionalFormatting>
  <conditionalFormatting sqref="B12:D12 B8:D8">
    <cfRule type="containsText" dxfId="51" priority="1" operator="containsText" text="NP">
      <formula>NOT(ISERROR(SEARCH("NP",B8)))</formula>
    </cfRule>
  </conditionalFormatting>
  <pageMargins left="0.78740157480314965" right="0.17" top="0.98425196850393704" bottom="0.98425196850393704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3"/>
  <sheetViews>
    <sheetView showGridLines="0" zoomScale="70" zoomScaleNormal="70" workbookViewId="0">
      <selection activeCell="J8" sqref="J8"/>
    </sheetView>
  </sheetViews>
  <sheetFormatPr baseColWidth="10" defaultRowHeight="15" x14ac:dyDescent="0.25"/>
  <cols>
    <col min="1" max="1" width="13.140625" style="17" bestFit="1" customWidth="1"/>
    <col min="2" max="2" width="19.140625" style="17" customWidth="1"/>
    <col min="3" max="3" width="21.7109375" style="17" customWidth="1"/>
    <col min="4" max="4" width="22.140625" style="17" customWidth="1"/>
    <col min="5" max="7" width="22.7109375" style="17" customWidth="1"/>
    <col min="8" max="8" width="3.5703125" style="2" customWidth="1"/>
    <col min="9" max="9" width="14.28515625" style="17" customWidth="1"/>
    <col min="10" max="16384" width="11.42578125" style="17"/>
  </cols>
  <sheetData>
    <row r="1" spans="1:10" ht="54.75" customHeight="1" x14ac:dyDescent="0.2">
      <c r="A1" s="477" t="s">
        <v>153</v>
      </c>
      <c r="B1" s="477"/>
      <c r="C1" s="477"/>
      <c r="D1" s="477"/>
      <c r="E1" s="477"/>
      <c r="F1" s="477"/>
      <c r="G1" s="477"/>
      <c r="H1" s="1"/>
      <c r="I1" s="16"/>
      <c r="J1" s="16"/>
    </row>
    <row r="2" spans="1:10" s="32" customFormat="1" ht="18.75" x14ac:dyDescent="0.2">
      <c r="A2" s="40"/>
      <c r="B2" s="40"/>
      <c r="C2" s="40"/>
      <c r="D2" s="40"/>
      <c r="E2" s="40"/>
      <c r="F2" s="40"/>
      <c r="G2" s="40"/>
      <c r="H2" s="56"/>
      <c r="I2" s="31"/>
      <c r="J2" s="31"/>
    </row>
    <row r="3" spans="1:10" ht="30" customHeight="1" thickBot="1" x14ac:dyDescent="0.3">
      <c r="A3" s="478" t="s">
        <v>24</v>
      </c>
      <c r="B3" s="478"/>
      <c r="C3" s="478"/>
      <c r="D3" s="478"/>
      <c r="E3" s="61"/>
      <c r="F3" s="61"/>
    </row>
    <row r="4" spans="1:10" ht="16.5" thickBot="1" x14ac:dyDescent="0.3">
      <c r="A4" s="46"/>
      <c r="B4" s="46"/>
      <c r="C4" s="46"/>
      <c r="D4" s="46"/>
      <c r="E4" s="479" t="s">
        <v>30</v>
      </c>
      <c r="F4" s="480"/>
      <c r="G4" s="481"/>
    </row>
    <row r="5" spans="1:10" ht="45.75" thickBot="1" x14ac:dyDescent="0.35">
      <c r="A5" s="482" t="s">
        <v>14</v>
      </c>
      <c r="B5" s="483"/>
      <c r="C5" s="58" t="s">
        <v>51</v>
      </c>
      <c r="D5" s="58" t="s">
        <v>15</v>
      </c>
      <c r="E5" s="110" t="s">
        <v>37</v>
      </c>
      <c r="F5" s="111" t="s">
        <v>132</v>
      </c>
      <c r="G5" s="112" t="s">
        <v>26</v>
      </c>
      <c r="H5" s="6"/>
      <c r="I5" s="156"/>
    </row>
    <row r="6" spans="1:10" ht="15.75" thickBot="1" x14ac:dyDescent="0.3">
      <c r="A6" s="492" t="s">
        <v>115</v>
      </c>
      <c r="B6" s="36" t="s">
        <v>19</v>
      </c>
      <c r="C6" s="35"/>
      <c r="D6" s="168"/>
      <c r="E6" s="264" t="str">
        <f>IF($A$26=FALSE,"NP",IF(OR(C6="NDD",C6=""),"NDD",C6/T3.Normalización!$E7))</f>
        <v>NP</v>
      </c>
      <c r="F6" s="267" t="str">
        <f>IF($A$26=FALSE,"NP",IF(OR(D6="NDD",D6=""),"NDD",D6*1000000/T3.Normalización!$E7))</f>
        <v>NP</v>
      </c>
      <c r="G6" s="270" t="str">
        <f>IF($A26=FALSE,"NP",IF(OR(C6="NDD",C6="",D6="NDD",D6=""),"NDD",D6*1000000/C6))</f>
        <v>NP</v>
      </c>
      <c r="H6" s="155"/>
      <c r="I6" s="183" t="str">
        <f>IF(AND($A26=TRUE,COUNTBLANK(C6:D6)&gt;0),"Existen celdas vacías en Producción costa afuera, favor completar","")</f>
        <v/>
      </c>
      <c r="J6" s="146"/>
    </row>
    <row r="7" spans="1:10" ht="15.75" thickBot="1" x14ac:dyDescent="0.3">
      <c r="A7" s="493"/>
      <c r="B7" s="37" t="s">
        <v>18</v>
      </c>
      <c r="C7" s="35"/>
      <c r="D7" s="168"/>
      <c r="E7" s="265" t="str">
        <f>IF($A$27=FALSE,"NP",IF(OR(C7="NDD",C7=""),"NDD",C7/T3.Normalización!$E8))</f>
        <v>NP</v>
      </c>
      <c r="F7" s="268" t="str">
        <f>IF($A$27=FALSE,"NP",IF(OR(D7="NDD",D7=""),"NDD",D7*1000000/T3.Normalización!$E8))</f>
        <v>NP</v>
      </c>
      <c r="G7" s="270" t="str">
        <f>IF($A27=FALSE,"NP",IF(OR(C7="NDD",C7="",D7="NDD",D7=""),"NDD",D7*1000000/C7))</f>
        <v>NP</v>
      </c>
      <c r="H7" s="155"/>
      <c r="I7" s="183" t="str">
        <f>IF(AND($A27=TRUE,COUNTBLANK(C7:D7)&gt;0),"Existen celdas vacías en Producción en tierra, favor completar","")</f>
        <v/>
      </c>
      <c r="J7" s="2"/>
    </row>
    <row r="8" spans="1:10" ht="15.75" thickBot="1" x14ac:dyDescent="0.3">
      <c r="A8" s="493"/>
      <c r="B8" s="37" t="s">
        <v>31</v>
      </c>
      <c r="C8" s="35"/>
      <c r="D8" s="168"/>
      <c r="E8" s="265" t="str">
        <f>IF($A$28=FALSE,"NP",IF(OR(C8="NDD",C8=""),"NDD",C8/T3.Normalización!$E9))</f>
        <v>NP</v>
      </c>
      <c r="F8" s="268" t="str">
        <f>IF($A$28=FALSE,"NP",IF(OR(D8="NDD",D8=""),"NDD",D8*1000000/T3.Normalización!$E9))</f>
        <v>NP</v>
      </c>
      <c r="G8" s="270" t="str">
        <f>IF($A28=FALSE,"NP",IF(OR(C8="NDD",C8="",D8="NDD",D8=""),"NDD",D8*1000000/C8))</f>
        <v>NP</v>
      </c>
      <c r="H8" s="155"/>
      <c r="I8" s="183" t="str">
        <f>IF(AND($A28=TRUE,COUNTBLANK(C8:D8)&gt;0),"Existen celdas vacías en Producción no convencionales, favor completar","")</f>
        <v/>
      </c>
    </row>
    <row r="9" spans="1:10" ht="15.75" thickBot="1" x14ac:dyDescent="0.3">
      <c r="A9" s="494"/>
      <c r="B9" s="152" t="s">
        <v>3</v>
      </c>
      <c r="C9" s="149" t="str">
        <f>IF(AND($A$26=FALSE,$A$27=FALSE),"NP",IF(OR(AND($A$26=TRUE,OR(C6="",C6="NDD"))),"NDD",IF(OR(AND($A$27=TRUE,OR(C7="",C7="NDD"))),"NDD",(SUM(C6:C7)))))</f>
        <v>NP</v>
      </c>
      <c r="D9" s="169" t="str">
        <f>IF(AND($A$26=FALSE,$A$27=FALSE),"NP",IF(OR(AND($A$26=TRUE,OR(D6="",D6="NDD"))),"NDD",IF(OR(AND($A$27=TRUE,OR(D7="",D7="NDD"))),"NDD",(SUM(D6:D7)))))</f>
        <v>NP</v>
      </c>
      <c r="E9" s="266" t="str">
        <f>IF(AND($A$26=FALSE,$A$27=FALSE),"NP",IF(OR(C9="NDD",C9=""),"NDD",C9/T3.Normalización!$E10))</f>
        <v>NP</v>
      </c>
      <c r="F9" s="269" t="str">
        <f>IF(AND($A$26=FALSE,$A$27=FALSE),"NP",IF(OR(D9="NDD",D9=""),"NDD",D9*1000000/T3.Normalización!$E10))</f>
        <v>NP</v>
      </c>
      <c r="G9" s="271" t="str">
        <f>IF(AND($A$26=FALSE,$A$27=FALSE),"NP",IF(OR(E9="NDD",E9=""),"NDD",E9/T3.Normalización!$E10))</f>
        <v>NP</v>
      </c>
      <c r="H9" s="155"/>
      <c r="I9" s="157"/>
    </row>
    <row r="10" spans="1:10" ht="15.75" thickBot="1" x14ac:dyDescent="0.3">
      <c r="A10" s="484" t="s">
        <v>10</v>
      </c>
      <c r="B10" s="485"/>
      <c r="C10" s="35"/>
      <c r="D10" s="60"/>
      <c r="E10" s="265" t="str">
        <f>IF($A$29=FALSE,"NP",IF(OR(C10="NDD",C10=""),"NDD",C10/T3.Normalización!$E11))</f>
        <v>NP</v>
      </c>
      <c r="F10" s="268" t="str">
        <f>IF($A$29=FALSE,"NP",IF(OR(D10="NDD",D10=""),"NDD",D10*1000000/T3.Normalización!$E11))</f>
        <v>NP</v>
      </c>
      <c r="G10" s="270" t="str">
        <f>IF($A29=FALSE,"NP",IF(OR(C10="NDD",C10="",D10="NDD",D10=""),"NDD",D10*1000000/C10))</f>
        <v>NP</v>
      </c>
      <c r="H10" s="155" t="str">
        <f>IF(OR(C10=0,C10="",C10="NP",C10="NDD"),"OK",IF(C10='T5.Agua Producida'!B9,"Agua de prod es igual a agua como efluente. Favor revisar.","OK"))</f>
        <v>OK</v>
      </c>
      <c r="I10" s="183" t="str">
        <f>IF(AND($A29=TRUE,COUNTBLANK(C10:D10)&gt;0),"Existen celdas vacías en Transporte por ductos, favor completar","")</f>
        <v/>
      </c>
    </row>
    <row r="11" spans="1:10" ht="15.75" thickBot="1" x14ac:dyDescent="0.3">
      <c r="A11" s="486" t="s">
        <v>11</v>
      </c>
      <c r="B11" s="487"/>
      <c r="C11" s="35"/>
      <c r="D11" s="60"/>
      <c r="E11" s="265" t="str">
        <f>IF($A$30=FALSE,"NP",IF(OR(C11="NDD",C11=""),"NDD",C11/T3.Normalización!$E12))</f>
        <v>NP</v>
      </c>
      <c r="F11" s="268" t="str">
        <f>IF($A$30=FALSE,"NP",IF(OR(D11="NDD",D11=""),"NDD",D11*1000000/T3.Normalización!$E12))</f>
        <v>NP</v>
      </c>
      <c r="G11" s="270" t="str">
        <f>IF($A30=FALSE,"NP",IF(OR(C11="NDD",C11="",D11="NDD",D11=""),"NDD",D11*1000000/C11))</f>
        <v>NP</v>
      </c>
      <c r="H11" s="155" t="str">
        <f>IF(OR(C11=0,C11="",C11="NP",C11="NDD"),"OK",IF(C11='T5.Agua Producida'!B10,"Agua de prod es igual a agua como efluente. Favor revisar.","OK"))</f>
        <v>OK</v>
      </c>
      <c r="I11" s="183" t="str">
        <f>IF(AND($A30=TRUE,COUNTBLANK(C11:D11)&gt;0),"Existen celdas vacías en Movimiento de Terminales, favor completar","")</f>
        <v/>
      </c>
    </row>
    <row r="12" spans="1:10" s="25" customFormat="1" ht="15.75" thickBot="1" x14ac:dyDescent="0.3">
      <c r="A12" s="495" t="s">
        <v>16</v>
      </c>
      <c r="B12" s="496"/>
      <c r="C12" s="35"/>
      <c r="D12" s="60"/>
      <c r="E12" s="265" t="str">
        <f>IF($A$31=FALSE,"NP",IF(OR(C12="NDD",C12=""),"NDD",C12/T3.Normalización!$E13))</f>
        <v>NP</v>
      </c>
      <c r="F12" s="268" t="str">
        <f>IF($A$31=FALSE,"NP",IF(OR(D12="NDD",D12=""),"NDD",D12*1000000/T3.Normalización!$E13))</f>
        <v>NP</v>
      </c>
      <c r="G12" s="270" t="str">
        <f>IF($A31=FALSE,"NP",IF(OR(C12="NDD",C12="",D12="NDD",D12=""),"NDD",D12*1000000/C12))</f>
        <v>NP</v>
      </c>
      <c r="H12" s="155" t="str">
        <f>IF(OR(C12=0,C12="",C12="NP",C12="NDD"),"OK",IF(C12='T5.Agua Producida'!B11,"Agua de prod es igual a agua como efluente. Favor revisar.","OK"))</f>
        <v>OK</v>
      </c>
      <c r="I12" s="183" t="str">
        <f>IF(AND($A31=TRUE,COUNTBLANK(C12:D12)&gt;0),"Existen celdas vacías en Distribución / Transporte, favor completar","")</f>
        <v/>
      </c>
    </row>
    <row r="13" spans="1:10" ht="15.75" thickBot="1" x14ac:dyDescent="0.3">
      <c r="A13" s="488" t="s">
        <v>12</v>
      </c>
      <c r="B13" s="489"/>
      <c r="C13" s="35"/>
      <c r="D13" s="60"/>
      <c r="E13" s="265" t="str">
        <f>IF($A$32=FALSE,"NP",IF(OR(C13="NDD",C13=""),"NDD",C13/T3.Normalización!$E14))</f>
        <v>NP</v>
      </c>
      <c r="F13" s="268" t="str">
        <f>IF($A$32=FALSE,"NP",IF(OR(D13="NDD",D13=""),"NDD",D13*1000000/T3.Normalización!$E14))</f>
        <v>NP</v>
      </c>
      <c r="G13" s="270" t="str">
        <f>IF($A32=FALSE,"NP",IF(OR(C13="NDD",C13="",D13="NDD",D13=""),"NDD",D13*1000000/C13))</f>
        <v>NP</v>
      </c>
      <c r="H13" s="155" t="str">
        <f>IF(OR(C13=0,C13="",C13="NP",C13="NDD"),"OK",IF(C13='T5.Agua Producida'!B12,"Agua de prod es igual a agua como efluente. Favor revisar.","OK"))</f>
        <v>OK</v>
      </c>
      <c r="I13" s="183" t="str">
        <f>IF(AND($A32=TRUE,COUNTBLANK(C13:D13)&gt;0),"Existen celdas vacías en Refinación, favor completar","")</f>
        <v/>
      </c>
    </row>
    <row r="14" spans="1:10" ht="15.75" thickBot="1" x14ac:dyDescent="0.3">
      <c r="A14" s="490" t="s">
        <v>20</v>
      </c>
      <c r="B14" s="491"/>
      <c r="C14" s="35"/>
      <c r="D14" s="60"/>
      <c r="E14" s="265" t="str">
        <f>IF($A$33=FALSE,"NP",IF(OR(C14="NDD",C14=""),"NDD",C14/T3.Normalización!$E15))</f>
        <v>NP</v>
      </c>
      <c r="F14" s="268" t="str">
        <f>IF($A$33=FALSE,"NP",IF(OR(D14="NDD",D14=""),"NDD",D14*1000000/T3.Normalización!$E15))</f>
        <v>NP</v>
      </c>
      <c r="G14" s="270" t="str">
        <f>IF($A33=FALSE,"NP",IF(OR(C14="NDD",C14="",D14="NDD",D14=""),"NDD",D14*1000000/C14))</f>
        <v>NP</v>
      </c>
      <c r="H14" s="155" t="str">
        <f>IF(OR(C14=0,C14="",C14="NP",C14="NDD"),"OK",IF(C14='T5.Agua Producida'!B13,"Agua de prod es igual a agua como efluente. Favor revisar.","OK"))</f>
        <v>OK</v>
      </c>
      <c r="I14" s="183" t="str">
        <f>IF(AND($A33=TRUE,COUNTBLANK(C14:D14)&gt;0),"Existen celdas vacías en Petroquímica, favor completar","")</f>
        <v/>
      </c>
    </row>
    <row r="15" spans="1:10" ht="15.75" thickBot="1" x14ac:dyDescent="0.3"/>
    <row r="16" spans="1:10" ht="16.5" thickBot="1" x14ac:dyDescent="0.3">
      <c r="A16" s="474" t="s">
        <v>17</v>
      </c>
      <c r="B16" s="475"/>
      <c r="C16" s="475"/>
      <c r="D16" s="475"/>
      <c r="E16" s="475"/>
      <c r="F16" s="475"/>
      <c r="G16" s="476"/>
    </row>
    <row r="18" spans="1:1" ht="15.75" x14ac:dyDescent="0.25">
      <c r="A18" s="182" t="str">
        <f>+'T5.Agua Producida'!A16</f>
        <v/>
      </c>
    </row>
    <row r="19" spans="1:1" ht="15.75" x14ac:dyDescent="0.25">
      <c r="A19" s="182" t="str">
        <f>+'T5.Agua Producida'!A17</f>
        <v/>
      </c>
    </row>
    <row r="20" spans="1:1" ht="15.75" x14ac:dyDescent="0.25">
      <c r="A20" s="182" t="str">
        <f>+'T5.Agua Producida'!A18</f>
        <v/>
      </c>
    </row>
    <row r="21" spans="1:1" ht="15.75" x14ac:dyDescent="0.25">
      <c r="A21" s="182" t="str">
        <f>IF(+'T5.Agua Producida'!A19="","",'T5.Agua Producida'!A19)</f>
        <v/>
      </c>
    </row>
    <row r="22" spans="1:1" ht="15.75" x14ac:dyDescent="0.25">
      <c r="A22" s="182" t="str">
        <f>IF(+'T5.Agua Producida'!A20="","",'T5.Agua Producida'!A20)</f>
        <v/>
      </c>
    </row>
    <row r="23" spans="1:1" ht="15.75" x14ac:dyDescent="0.25">
      <c r="A23" s="182" t="str">
        <f>IF(+'T5.Agua Producida'!A21="","",'T5.Agua Producida'!A21)</f>
        <v/>
      </c>
    </row>
    <row r="24" spans="1:1" ht="15.75" x14ac:dyDescent="0.25">
      <c r="A24" s="177"/>
    </row>
    <row r="25" spans="1:1" x14ac:dyDescent="0.25">
      <c r="A25" s="32"/>
    </row>
    <row r="26" spans="1:1" x14ac:dyDescent="0.25">
      <c r="A26" s="275" t="b">
        <f>+T1.Contacto!B15</f>
        <v>0</v>
      </c>
    </row>
    <row r="27" spans="1:1" x14ac:dyDescent="0.25">
      <c r="A27" s="275" t="b">
        <f>+T1.Contacto!B16</f>
        <v>0</v>
      </c>
    </row>
    <row r="28" spans="1:1" x14ac:dyDescent="0.25">
      <c r="A28" s="275" t="b">
        <f>+T1.Contacto!B17</f>
        <v>0</v>
      </c>
    </row>
    <row r="29" spans="1:1" x14ac:dyDescent="0.25">
      <c r="A29" s="275" t="b">
        <f>+T1.Contacto!B18</f>
        <v>0</v>
      </c>
    </row>
    <row r="30" spans="1:1" x14ac:dyDescent="0.25">
      <c r="A30" s="275" t="b">
        <f>+T1.Contacto!B19</f>
        <v>0</v>
      </c>
    </row>
    <row r="31" spans="1:1" x14ac:dyDescent="0.25">
      <c r="A31" s="275" t="b">
        <f>+T1.Contacto!B20</f>
        <v>0</v>
      </c>
    </row>
    <row r="32" spans="1:1" x14ac:dyDescent="0.25">
      <c r="A32" s="275" t="b">
        <f>+T1.Contacto!B21</f>
        <v>0</v>
      </c>
    </row>
    <row r="33" spans="1:1" x14ac:dyDescent="0.25">
      <c r="A33" s="275" t="b">
        <f>+T1.Contacto!B22</f>
        <v>0</v>
      </c>
    </row>
  </sheetData>
  <mergeCells count="11">
    <mergeCell ref="A1:G1"/>
    <mergeCell ref="A3:D3"/>
    <mergeCell ref="E4:G4"/>
    <mergeCell ref="A16:G16"/>
    <mergeCell ref="A5:B5"/>
    <mergeCell ref="A10:B10"/>
    <mergeCell ref="A11:B11"/>
    <mergeCell ref="A13:B13"/>
    <mergeCell ref="A14:B14"/>
    <mergeCell ref="A6:A9"/>
    <mergeCell ref="A12:B12"/>
  </mergeCells>
  <phoneticPr fontId="1" type="noConversion"/>
  <conditionalFormatting sqref="H6:H14 I9">
    <cfRule type="cellIs" dxfId="50" priority="13" operator="equal">
      <formula>"OK"</formula>
    </cfRule>
  </conditionalFormatting>
  <conditionalFormatting sqref="C14:G14">
    <cfRule type="expression" dxfId="49" priority="12">
      <formula>$A$33=FALSE</formula>
    </cfRule>
  </conditionalFormatting>
  <conditionalFormatting sqref="C13:G13">
    <cfRule type="expression" dxfId="48" priority="11">
      <formula>$A$32=FALSE</formula>
    </cfRule>
  </conditionalFormatting>
  <conditionalFormatting sqref="C12:G12">
    <cfRule type="expression" dxfId="47" priority="10">
      <formula>$A$31=FALSE</formula>
    </cfRule>
  </conditionalFormatting>
  <conditionalFormatting sqref="C11:G11">
    <cfRule type="expression" dxfId="46" priority="9">
      <formula>$A$30=FALSE</formula>
    </cfRule>
  </conditionalFormatting>
  <conditionalFormatting sqref="C10:G10">
    <cfRule type="expression" dxfId="45" priority="8">
      <formula>$A$29=FALSE</formula>
    </cfRule>
  </conditionalFormatting>
  <conditionalFormatting sqref="C6:G6">
    <cfRule type="expression" dxfId="44" priority="7">
      <formula>$A$26=FALSE</formula>
    </cfRule>
  </conditionalFormatting>
  <conditionalFormatting sqref="C7:G7">
    <cfRule type="expression" dxfId="43" priority="6">
      <formula>$A$27=FALSE</formula>
    </cfRule>
  </conditionalFormatting>
  <conditionalFormatting sqref="C9:G9">
    <cfRule type="containsText" dxfId="42" priority="4" operator="containsText" text="NP">
      <formula>NOT(ISERROR(SEARCH("NP",C9)))</formula>
    </cfRule>
  </conditionalFormatting>
  <conditionalFormatting sqref="C8:G8">
    <cfRule type="expression" dxfId="41" priority="1">
      <formula>$A$28=FALSE</formula>
    </cfRule>
  </conditionalFormatting>
  <pageMargins left="0.75" right="0.75" top="1" bottom="1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7"/>
  <sheetViews>
    <sheetView showGridLines="0" zoomScale="75" zoomScaleNormal="75" workbookViewId="0">
      <selection activeCell="I9" sqref="I9"/>
    </sheetView>
  </sheetViews>
  <sheetFormatPr baseColWidth="10" defaultRowHeight="12.75" x14ac:dyDescent="0.2"/>
  <cols>
    <col min="1" max="1" width="14.28515625" style="17" customWidth="1"/>
    <col min="2" max="2" width="20" style="17" customWidth="1"/>
    <col min="3" max="6" width="22.85546875" style="17" customWidth="1"/>
    <col min="7" max="7" width="3.5703125" style="17" customWidth="1"/>
    <col min="8" max="16384" width="11.42578125" style="17"/>
  </cols>
  <sheetData>
    <row r="1" spans="1:8" ht="54.75" customHeight="1" x14ac:dyDescent="0.2">
      <c r="A1" s="44" t="s">
        <v>153</v>
      </c>
      <c r="B1" s="44"/>
      <c r="C1" s="44"/>
      <c r="D1" s="44"/>
      <c r="E1" s="44"/>
      <c r="F1" s="43"/>
    </row>
    <row r="2" spans="1:8" s="32" customFormat="1" ht="18.75" x14ac:dyDescent="0.2">
      <c r="A2" s="45"/>
      <c r="B2" s="45"/>
      <c r="C2" s="45"/>
      <c r="D2" s="45"/>
      <c r="E2" s="45"/>
      <c r="F2" s="31"/>
    </row>
    <row r="3" spans="1:8" ht="45" customHeight="1" thickBot="1" x14ac:dyDescent="0.25">
      <c r="A3" s="505" t="s">
        <v>116</v>
      </c>
      <c r="B3" s="505"/>
      <c r="C3" s="505"/>
      <c r="D3" s="505"/>
      <c r="E3" s="505"/>
      <c r="F3" s="505"/>
    </row>
    <row r="4" spans="1:8" ht="16.5" thickBot="1" x14ac:dyDescent="0.3">
      <c r="A4" s="47"/>
      <c r="B4" s="47"/>
      <c r="C4" s="47"/>
      <c r="D4" s="47"/>
      <c r="E4" s="500" t="s">
        <v>30</v>
      </c>
      <c r="F4" s="501"/>
    </row>
    <row r="5" spans="1:8" ht="82.5" customHeight="1" thickBot="1" x14ac:dyDescent="0.25">
      <c r="A5" s="506" t="s">
        <v>14</v>
      </c>
      <c r="B5" s="483"/>
      <c r="C5" s="180" t="s">
        <v>138</v>
      </c>
      <c r="D5" s="180" t="s">
        <v>139</v>
      </c>
      <c r="E5" s="110" t="s">
        <v>133</v>
      </c>
      <c r="F5" s="110" t="s">
        <v>134</v>
      </c>
    </row>
    <row r="6" spans="1:8" ht="15" customHeight="1" thickBot="1" x14ac:dyDescent="0.3">
      <c r="A6" s="502" t="s">
        <v>115</v>
      </c>
      <c r="B6" s="199" t="s">
        <v>19</v>
      </c>
      <c r="C6" s="35"/>
      <c r="D6" s="60"/>
      <c r="E6" s="277" t="str">
        <f>IF($A20=FALSE,"NP",IF(OR(C6="NDD",C6=""),"NDD",C6*1000/T3.Normalización!$E7))</f>
        <v>NP</v>
      </c>
      <c r="F6" s="277" t="str">
        <f>IF($A20=FALSE,"NP",IF(OR(D6="NDD",D6=""),"NDD",D6*1000/T3.Normalización!$E7))</f>
        <v>NP</v>
      </c>
      <c r="H6" s="183" t="str">
        <f>IF(AND($A20=TRUE,COUNTBLANK(C6:D6)&gt;0),"Existen celdas vacías en Producción costa afuera, favor completar","")</f>
        <v/>
      </c>
    </row>
    <row r="7" spans="1:8" ht="16.5" customHeight="1" thickBot="1" x14ac:dyDescent="0.3">
      <c r="A7" s="503"/>
      <c r="B7" s="200" t="s">
        <v>18</v>
      </c>
      <c r="C7" s="35"/>
      <c r="D7" s="60"/>
      <c r="E7" s="277" t="str">
        <f>IF($A21=FALSE,"NP",IF(OR(C7="NDD",C7=""),"NDD",C7*1000/T3.Normalización!$E8))</f>
        <v>NP</v>
      </c>
      <c r="F7" s="277" t="str">
        <f>IF($A21=FALSE,"NP",IF(OR(D7="NDD",D7=""),"NDD",D7*1000/T3.Normalización!$E8))</f>
        <v>NP</v>
      </c>
      <c r="H7" s="183" t="str">
        <f>IF(AND($A21=TRUE,COUNTBLANK(C7:D7)&gt;0),"Existen celdas vacías en Producción en tierra, favor completar","")</f>
        <v/>
      </c>
    </row>
    <row r="8" spans="1:8" ht="15" customHeight="1" thickBot="1" x14ac:dyDescent="0.3">
      <c r="A8" s="503"/>
      <c r="B8" s="200" t="s">
        <v>32</v>
      </c>
      <c r="C8" s="35"/>
      <c r="D8" s="60"/>
      <c r="E8" s="277" t="str">
        <f>IF($A22=FALSE,"NP",IF(OR(C8="NDD",C8=""),"NDD",C8*1000/T3.Normalización!$E9))</f>
        <v>NP</v>
      </c>
      <c r="F8" s="277" t="str">
        <f>IF($A22=FALSE,"NP",IF(OR(D8="NDD",D8=""),"NDD",D8*1000/T3.Normalización!$E9))</f>
        <v>NP</v>
      </c>
      <c r="H8" s="183" t="str">
        <f>IF(AND($A22=TRUE,COUNTBLANK(C8:D8)&gt;0),"Existen celdas vacías en Producción no convencionales, favor completar","")</f>
        <v/>
      </c>
    </row>
    <row r="9" spans="1:8" ht="15" customHeight="1" thickBot="1" x14ac:dyDescent="0.3">
      <c r="A9" s="504"/>
      <c r="B9" s="200" t="s">
        <v>3</v>
      </c>
      <c r="C9" s="149" t="str">
        <f>IF(AND($A$20=FALSE,$A$21=FALSE),"NP",IF(AND($A$20=TRUE,OR(C6="",C6="NDD")),"NDD",IF(AND($A$21=TRUE,OR(C7="",C7="NDD")),"NDD",SUM(C6:C7))))</f>
        <v>NP</v>
      </c>
      <c r="D9" s="149" t="str">
        <f>IF(AND($A$20=FALSE,$A$21=FALSE),"NP",IF(AND($A$20=TRUE,OR(D6="",D6="NDD")),"NDD",IF(AND($A$21=TRUE,OR(D7="",D7="NDD")),"NDD",SUM(D6:D7))))</f>
        <v>NP</v>
      </c>
      <c r="E9" s="278" t="str">
        <f>IF(AND($A20=FALSE,$A21=FALSE),"NP",IF(OR(C9="NDD",C9=""),"NDD",C9*1000/T3.Normalización!$E10))</f>
        <v>NP</v>
      </c>
      <c r="F9" s="278" t="str">
        <f>IF(AND($A20=FALSE,$A21=FALSE),"NP",IF(OR(D9="NDD",D9=""),"NDD",D9*1000/T3.Normalización!$E10))</f>
        <v>NP</v>
      </c>
      <c r="H9" s="157"/>
    </row>
    <row r="10" spans="1:8" ht="15.75" thickBot="1" x14ac:dyDescent="0.3">
      <c r="A10" s="511" t="s">
        <v>10</v>
      </c>
      <c r="B10" s="512"/>
      <c r="C10" s="35"/>
      <c r="D10" s="60"/>
      <c r="E10" s="277" t="str">
        <f>IF($A23=FALSE,"NP",IF(OR(C10="NDD",C10=""),"NDD",C10*1000/T3.Normalización!$E11))</f>
        <v>NP</v>
      </c>
      <c r="F10" s="277" t="str">
        <f>IF($A23=FALSE,"NP",IF(OR(D10="NDD",D10=""),"NDD",D10*1000/T3.Normalización!$E11))</f>
        <v>NP</v>
      </c>
      <c r="H10" s="183" t="str">
        <f>IF(AND($A23=TRUE,COUNTBLANK(C10:D10)&gt;0),"Existen celdas vacías en Transporte por ductos, favor completar","")</f>
        <v/>
      </c>
    </row>
    <row r="11" spans="1:8" ht="15.75" thickBot="1" x14ac:dyDescent="0.3">
      <c r="A11" s="513" t="s">
        <v>11</v>
      </c>
      <c r="B11" s="514"/>
      <c r="C11" s="35"/>
      <c r="D11" s="60"/>
      <c r="E11" s="277" t="str">
        <f>IF($A24=FALSE,"NP",IF(OR(C11="NDD",C11=""),"NDD",C11*1000/T3.Normalización!$E12))</f>
        <v>NP</v>
      </c>
      <c r="F11" s="277" t="str">
        <f>IF($A24=FALSE,"NP",IF(OR(D11="NDD",D11=""),"NDD",D11*1000/T3.Normalización!$E12))</f>
        <v>NP</v>
      </c>
      <c r="H11" s="183" t="str">
        <f>IF(AND($A24=TRUE,COUNTBLANK(C11:D11)&gt;0),"Existen celdas vacías en Movimiento de Terminales, favor completar","")</f>
        <v/>
      </c>
    </row>
    <row r="12" spans="1:8" s="32" customFormat="1" ht="15.75" thickBot="1" x14ac:dyDescent="0.3">
      <c r="A12" s="509" t="s">
        <v>13</v>
      </c>
      <c r="B12" s="510"/>
      <c r="C12" s="35"/>
      <c r="D12" s="60"/>
      <c r="E12" s="277" t="str">
        <f>IF($A25=FALSE,"NP",IF(OR(C12="NDD",C12=""),"NDD",C12*1000/T3.Normalización!$E13))</f>
        <v>NP</v>
      </c>
      <c r="F12" s="277" t="str">
        <f>IF($A25=FALSE,"NP",IF(OR(D12="NDD",D12=""),"NDD",D12*1000/T3.Normalización!$E13))</f>
        <v>NP</v>
      </c>
      <c r="H12" s="183" t="str">
        <f>IF(AND($A25=TRUE,COUNTBLANK(C12:D12)&gt;0),"Existen celdas vacías en Distribución / Transporte, favor completar","")</f>
        <v/>
      </c>
    </row>
    <row r="13" spans="1:8" ht="15.75" thickBot="1" x14ac:dyDescent="0.3">
      <c r="A13" s="515" t="s">
        <v>12</v>
      </c>
      <c r="B13" s="516"/>
      <c r="C13" s="35"/>
      <c r="D13" s="60"/>
      <c r="E13" s="277" t="str">
        <f>IF($A26=FALSE,"NP",IF(OR(C13="NDD",C13=""),"NDD",C13*1000/T3.Normalización!$E14))</f>
        <v>NP</v>
      </c>
      <c r="F13" s="277" t="str">
        <f>IF($A26=FALSE,"NP",IF(OR(D13="NDD",D13=""),"NDD",D13*1000/T3.Normalización!$E14))</f>
        <v>NP</v>
      </c>
      <c r="H13" s="183" t="str">
        <f>IF(AND($A26=TRUE,COUNTBLANK(C13:D13)&gt;0),"Existen celdas vacías en Refinación, favor completar","")</f>
        <v/>
      </c>
    </row>
    <row r="14" spans="1:8" ht="15.75" thickBot="1" x14ac:dyDescent="0.3">
      <c r="A14" s="507" t="s">
        <v>20</v>
      </c>
      <c r="B14" s="508"/>
      <c r="C14" s="35"/>
      <c r="D14" s="60"/>
      <c r="E14" s="277" t="str">
        <f>IF($A27=FALSE,"NP",IF(OR(C14="NDD",C14=""),"NDD",C14*1000/T3.Normalización!$E15))</f>
        <v>NP</v>
      </c>
      <c r="F14" s="277" t="str">
        <f>IF($A27=FALSE,"NP",IF(OR(D14="NDD",D14=""),"NDD",D14*1000/T3.Normalización!$E15))</f>
        <v>NP</v>
      </c>
      <c r="H14" s="183" t="str">
        <f>IF(AND($A27=TRUE,COUNTBLANK(C14:D14)&gt;0),"Existen celdas vacías en Petroquímica, favor completar","")</f>
        <v/>
      </c>
    </row>
    <row r="15" spans="1:8" s="32" customFormat="1" ht="16.5" thickBot="1" x14ac:dyDescent="0.25">
      <c r="A15" s="41"/>
      <c r="B15" s="41"/>
      <c r="C15" s="41"/>
      <c r="D15" s="41"/>
      <c r="E15" s="41"/>
      <c r="F15" s="41"/>
    </row>
    <row r="16" spans="1:8" ht="16.5" thickBot="1" x14ac:dyDescent="0.25">
      <c r="A16" s="497" t="s">
        <v>17</v>
      </c>
      <c r="B16" s="498"/>
      <c r="C16" s="498"/>
      <c r="D16" s="498"/>
      <c r="E16" s="498"/>
      <c r="F16" s="499"/>
    </row>
    <row r="17" spans="1:4" ht="15.75" customHeight="1" x14ac:dyDescent="0.25">
      <c r="A17" s="42"/>
      <c r="B17" s="42"/>
      <c r="C17" s="42"/>
      <c r="D17" s="42"/>
    </row>
    <row r="19" spans="1:4" ht="15" x14ac:dyDescent="0.25">
      <c r="A19" s="186"/>
    </row>
    <row r="20" spans="1:4" ht="15" x14ac:dyDescent="0.25">
      <c r="A20" s="184" t="b">
        <f>+T1.Contacto!B15</f>
        <v>0</v>
      </c>
    </row>
    <row r="21" spans="1:4" ht="15" x14ac:dyDescent="0.25">
      <c r="A21" s="184" t="b">
        <f>+T1.Contacto!B16</f>
        <v>0</v>
      </c>
    </row>
    <row r="22" spans="1:4" ht="15" x14ac:dyDescent="0.25">
      <c r="A22" s="184" t="b">
        <f>+T1.Contacto!B17</f>
        <v>0</v>
      </c>
    </row>
    <row r="23" spans="1:4" ht="15" x14ac:dyDescent="0.25">
      <c r="A23" s="184" t="b">
        <f>+T1.Contacto!B18</f>
        <v>0</v>
      </c>
    </row>
    <row r="24" spans="1:4" ht="15" x14ac:dyDescent="0.25">
      <c r="A24" s="184" t="b">
        <f>+T1.Contacto!B19</f>
        <v>0</v>
      </c>
    </row>
    <row r="25" spans="1:4" ht="15" x14ac:dyDescent="0.25">
      <c r="A25" s="184" t="b">
        <f>+T1.Contacto!B20</f>
        <v>0</v>
      </c>
    </row>
    <row r="26" spans="1:4" ht="15" x14ac:dyDescent="0.25">
      <c r="A26" s="184" t="b">
        <f>+T1.Contacto!B21</f>
        <v>0</v>
      </c>
    </row>
    <row r="27" spans="1:4" ht="15" x14ac:dyDescent="0.25">
      <c r="A27" s="184" t="b">
        <f>+T1.Contacto!B22</f>
        <v>0</v>
      </c>
    </row>
  </sheetData>
  <mergeCells count="10">
    <mergeCell ref="A16:F16"/>
    <mergeCell ref="E4:F4"/>
    <mergeCell ref="A6:A9"/>
    <mergeCell ref="A3:F3"/>
    <mergeCell ref="A5:B5"/>
    <mergeCell ref="A14:B14"/>
    <mergeCell ref="A12:B12"/>
    <mergeCell ref="A10:B10"/>
    <mergeCell ref="A11:B11"/>
    <mergeCell ref="A13:B13"/>
  </mergeCells>
  <phoneticPr fontId="1" type="noConversion"/>
  <conditionalFormatting sqref="C6:F6">
    <cfRule type="expression" dxfId="40" priority="10">
      <formula>$A$20=FALSE</formula>
    </cfRule>
  </conditionalFormatting>
  <conditionalFormatting sqref="C7:F7">
    <cfRule type="expression" dxfId="39" priority="9">
      <formula>$A$21=FALSE</formula>
    </cfRule>
  </conditionalFormatting>
  <conditionalFormatting sqref="C8:F8">
    <cfRule type="expression" dxfId="38" priority="8">
      <formula>$A$22=FALSE</formula>
    </cfRule>
  </conditionalFormatting>
  <conditionalFormatting sqref="C10:F10">
    <cfRule type="expression" dxfId="37" priority="7">
      <formula>$A$23=FALSE</formula>
    </cfRule>
  </conditionalFormatting>
  <conditionalFormatting sqref="C11:F11">
    <cfRule type="expression" dxfId="36" priority="6">
      <formula>$A$24=FALSE</formula>
    </cfRule>
  </conditionalFormatting>
  <conditionalFormatting sqref="C12:F12">
    <cfRule type="expression" dxfId="35" priority="5">
      <formula>$A$25=FALSE</formula>
    </cfRule>
  </conditionalFormatting>
  <conditionalFormatting sqref="C13:F13">
    <cfRule type="expression" dxfId="34" priority="4">
      <formula>$A$26=FALSE</formula>
    </cfRule>
  </conditionalFormatting>
  <conditionalFormatting sqref="C14:F14">
    <cfRule type="expression" dxfId="33" priority="3">
      <formula>$A$27=FALSE</formula>
    </cfRule>
  </conditionalFormatting>
  <conditionalFormatting sqref="C9:F9">
    <cfRule type="containsText" dxfId="32" priority="2" operator="containsText" text="NP">
      <formula>NOT(ISERROR(SEARCH("NP",C9)))</formula>
    </cfRule>
  </conditionalFormatting>
  <conditionalFormatting sqref="H9">
    <cfRule type="cellIs" dxfId="31" priority="1" operator="equal">
      <formula>"OK"</formula>
    </cfRule>
  </conditionalFormatting>
  <pageMargins left="0.75" right="0.75" top="1" bottom="1" header="0" footer="0"/>
  <pageSetup paperSize="9" orientation="landscape" r:id="rId1"/>
  <headerFooter alignWithMargins="0"/>
  <ignoredErrors>
    <ignoredError sqref="E6:F14 C9:D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28"/>
  <sheetViews>
    <sheetView showGridLines="0" zoomScale="75" zoomScaleNormal="75" workbookViewId="0">
      <selection activeCell="K11" sqref="K11"/>
    </sheetView>
  </sheetViews>
  <sheetFormatPr baseColWidth="10" defaultRowHeight="15" x14ac:dyDescent="0.25"/>
  <cols>
    <col min="1" max="1" width="11.42578125" style="2" customWidth="1"/>
    <col min="2" max="2" width="19.42578125" style="2" customWidth="1"/>
    <col min="3" max="5" width="15.7109375" style="2" customWidth="1"/>
    <col min="6" max="6" width="20" style="2" customWidth="1"/>
    <col min="7" max="7" width="15.7109375" style="2" customWidth="1"/>
    <col min="8" max="8" width="3.5703125" style="2" customWidth="1"/>
    <col min="9" max="16384" width="11.42578125" style="2"/>
  </cols>
  <sheetData>
    <row r="1" spans="1:10" ht="54.75" customHeight="1" x14ac:dyDescent="0.25">
      <c r="A1" s="477" t="s">
        <v>153</v>
      </c>
      <c r="B1" s="477"/>
      <c r="C1" s="477"/>
      <c r="D1" s="477"/>
      <c r="E1" s="477"/>
      <c r="F1" s="477"/>
      <c r="G1" s="55"/>
      <c r="H1" s="1"/>
      <c r="I1" s="1"/>
      <c r="J1" s="1"/>
    </row>
    <row r="2" spans="1:10" s="57" customFormat="1" ht="18.75" x14ac:dyDescent="0.25">
      <c r="A2" s="40"/>
      <c r="B2" s="40"/>
      <c r="C2" s="40"/>
      <c r="D2" s="40"/>
      <c r="E2" s="40"/>
      <c r="F2" s="40"/>
      <c r="G2" s="56"/>
      <c r="H2" s="56"/>
      <c r="I2" s="56"/>
      <c r="J2" s="56"/>
    </row>
    <row r="3" spans="1:10" ht="16.5" thickBot="1" x14ac:dyDescent="0.3">
      <c r="A3" s="360" t="s">
        <v>28</v>
      </c>
      <c r="B3" s="12"/>
      <c r="C3" s="12"/>
      <c r="D3" s="12"/>
      <c r="E3" s="12"/>
      <c r="F3" s="12"/>
      <c r="G3" s="1"/>
      <c r="H3" s="1"/>
      <c r="I3" s="1"/>
      <c r="J3" s="1"/>
    </row>
    <row r="4" spans="1:10" ht="15.75" customHeight="1" thickBot="1" x14ac:dyDescent="0.3">
      <c r="A4" s="11"/>
      <c r="B4" s="11"/>
      <c r="C4" s="11"/>
      <c r="D4" s="11"/>
      <c r="E4" s="11"/>
      <c r="F4" s="519" t="s">
        <v>30</v>
      </c>
      <c r="G4" s="520"/>
    </row>
    <row r="5" spans="1:10" ht="58.5" customHeight="1" thickBot="1" x14ac:dyDescent="0.3">
      <c r="A5" s="482" t="s">
        <v>14</v>
      </c>
      <c r="B5" s="483"/>
      <c r="C5" s="180" t="s">
        <v>64</v>
      </c>
      <c r="D5" s="201" t="s">
        <v>130</v>
      </c>
      <c r="E5" s="58" t="s">
        <v>128</v>
      </c>
      <c r="F5" s="4" t="s">
        <v>135</v>
      </c>
      <c r="G5" s="5" t="s">
        <v>29</v>
      </c>
      <c r="H5" s="6"/>
      <c r="I5" s="7"/>
    </row>
    <row r="6" spans="1:10" ht="17.25" customHeight="1" thickBot="1" x14ac:dyDescent="0.3">
      <c r="A6" s="492" t="s">
        <v>115</v>
      </c>
      <c r="B6" s="36" t="s">
        <v>19</v>
      </c>
      <c r="C6" s="35"/>
      <c r="D6" s="60"/>
      <c r="E6" s="369"/>
      <c r="F6" s="277" t="str">
        <f>IF($A20=FALSE,"NP",IF(OR(C6="NDD",C6=""),"NDD",+C6/T3.Normalización!$E7))</f>
        <v>NP</v>
      </c>
      <c r="G6" s="368" t="str">
        <f>IF($A20=FALSE,"NP",IF(OR(E6="NDD",E6="",C6="ndd",C6=""),"NDD",+E6/C6))</f>
        <v>NP</v>
      </c>
      <c r="H6" s="8"/>
      <c r="I6" s="183" t="str">
        <f>IF(AND($A20=TRUE,COUNTBLANK(C6:E6)&gt;0),"Existen celdas vacías en Producción costa afuera, favor completar","")</f>
        <v/>
      </c>
    </row>
    <row r="7" spans="1:10" ht="15.75" thickBot="1" x14ac:dyDescent="0.3">
      <c r="A7" s="493"/>
      <c r="B7" s="37" t="s">
        <v>18</v>
      </c>
      <c r="C7" s="35"/>
      <c r="D7" s="60"/>
      <c r="E7" s="369"/>
      <c r="F7" s="277" t="str">
        <f>IF($A21=FALSE,"NP",IF(OR(C7="NDD",C7=""),"NDD",+C7/T3.Normalización!$E8))</f>
        <v>NP</v>
      </c>
      <c r="G7" s="368" t="str">
        <f>IF($A21=FALSE,"NP",IF(OR(E7="NDD",E7="",C7="ndd",C7=""),"NDD",+E7/C7))</f>
        <v>NP</v>
      </c>
      <c r="H7" s="8"/>
      <c r="I7" s="183" t="str">
        <f>IF(AND($A21=TRUE,COUNTBLANK(C7:E7)&gt;0),"Existen celdas vacías en Producción en tierra, favor completar","")</f>
        <v/>
      </c>
    </row>
    <row r="8" spans="1:10" ht="15.75" thickBot="1" x14ac:dyDescent="0.3">
      <c r="A8" s="493"/>
      <c r="B8" s="37" t="s">
        <v>31</v>
      </c>
      <c r="C8" s="35"/>
      <c r="D8" s="202"/>
      <c r="E8" s="35"/>
      <c r="F8" s="279" t="str">
        <f>IF($A22=FALSE,"NP",IF(OR(C8="NDD",C8=""),"NDD",+C8/T3.Normalización!$E9))</f>
        <v>NP</v>
      </c>
      <c r="G8" s="272" t="str">
        <f>IF($A22=FALSE,"NP",IF(OR(E8="NDD",E8="",C8="ndd",C8=""),"NDD",+E8/C8))</f>
        <v>NP</v>
      </c>
      <c r="H8" s="48"/>
      <c r="I8" s="183" t="str">
        <f>IF(AND($A22=TRUE,COUNTBLANK(C8:E8)&gt;0),"Existen celdas vacías en Producción no convencionales, favor completar","")</f>
        <v/>
      </c>
    </row>
    <row r="9" spans="1:10" ht="15.75" thickBot="1" x14ac:dyDescent="0.3">
      <c r="A9" s="494"/>
      <c r="B9" s="59" t="s">
        <v>112</v>
      </c>
      <c r="C9" s="149" t="str">
        <f>IF(AND($A$20=FALSE,$A$21=FALSE),"NP",IF(AND($A$20=TRUE,OR(C6="",C6="NDD")),"NDD",IF(AND($A$21=TRUE,OR(C7="",C7="NDD")),"NDD",SUM(C6:C7))))</f>
        <v>NP</v>
      </c>
      <c r="D9" s="203" t="str">
        <f>IF(AND($A$20=FALSE,$A$21=FALSE),"NP",IF(AND($A$20=TRUE,OR(D6="",D6="NDD")),"NDD",IF(AND($A$21=TRUE,OR(D7="",D7="NDD")),"NDD",((+C6*D6+C7*D7)/C9))))</f>
        <v>NP</v>
      </c>
      <c r="E9" s="149" t="str">
        <f>IF(AND($A$20=FALSE,$A$21=FALSE),"NP",IF(AND($A$20=TRUE,OR(E6="",E6="NDD")),"NDD",IF(AND($A$21=TRUE,OR(E7="",E7="NDD")),"NDD",SUM(E6:E7))))</f>
        <v>NP</v>
      </c>
      <c r="F9" s="280" t="str">
        <f>IF(AND($A20=FALSE,$A21=FALSE),"NP",IF(OR(C9="NDD",C9=""),"NDD",+C9/T3.Normalización!$E10))</f>
        <v>NP</v>
      </c>
      <c r="G9" s="273" t="str">
        <f>IF(AND($A$20=FALSE,$A$21=FALSE),"NP",IF(OR(E9="NDD",E9="",C9="",C9="NDD"),"NDD",+E9/C9))</f>
        <v>NP</v>
      </c>
      <c r="I9" s="157"/>
    </row>
    <row r="10" spans="1:10" ht="16.5" customHeight="1" thickBot="1" x14ac:dyDescent="0.3">
      <c r="A10" s="484" t="s">
        <v>10</v>
      </c>
      <c r="B10" s="485"/>
      <c r="C10" s="35"/>
      <c r="D10" s="202"/>
      <c r="E10" s="35" t="str">
        <f>IFERROR(+#REF!-#REF!,"")</f>
        <v/>
      </c>
      <c r="F10" s="279" t="str">
        <f>IF($A23=FALSE,"NP",IF(OR(C10="NDD",C10=""),"NDD",+C10/T3.Normalización!$E11))</f>
        <v>NP</v>
      </c>
      <c r="G10" s="272" t="str">
        <f>IF($A23=FALSE,"NP",IF(OR(E10="NDD",E10="",C10="ndd",C10=""),"NDD",+E10/C10))</f>
        <v>NP</v>
      </c>
      <c r="I10" s="183" t="str">
        <f>IF(AND($A23=TRUE,COUNTBLANK(C10:E10)&gt;0),"Existen celdas vacías en Transporte por ductos, favor completar","")</f>
        <v/>
      </c>
    </row>
    <row r="11" spans="1:10" ht="16.5" customHeight="1" thickBot="1" x14ac:dyDescent="0.3">
      <c r="A11" s="486" t="s">
        <v>11</v>
      </c>
      <c r="B11" s="487"/>
      <c r="C11" s="35"/>
      <c r="D11" s="202"/>
      <c r="E11" s="35" t="str">
        <f>IFERROR(+#REF!-#REF!,"")</f>
        <v/>
      </c>
      <c r="F11" s="279" t="str">
        <f>IF($A24=FALSE,"NP",IF(OR(C11="NDD",C11=""),"NDD",+C11/T3.Normalización!$E12))</f>
        <v>NP</v>
      </c>
      <c r="G11" s="272" t="str">
        <f>IF($A24=FALSE,"NP",IF(OR(E11="NDD",E11="",C11="ndd",C11=""),"NDD",+E11/C11))</f>
        <v>NP</v>
      </c>
      <c r="I11" s="183" t="str">
        <f>IF(AND($A24=TRUE,COUNTBLANK(C11:E11)&gt;0),"Existen celdas vacías en Movimiento de Terminales, favor completar","")</f>
        <v/>
      </c>
    </row>
    <row r="12" spans="1:10" s="9" customFormat="1" ht="16.5" customHeight="1" thickBot="1" x14ac:dyDescent="0.3">
      <c r="A12" s="495" t="s">
        <v>16</v>
      </c>
      <c r="B12" s="496"/>
      <c r="C12" s="35"/>
      <c r="D12" s="202"/>
      <c r="E12" s="35" t="str">
        <f>IFERROR(+#REF!-#REF!,"")</f>
        <v/>
      </c>
      <c r="F12" s="279" t="str">
        <f>IF($A25=FALSE,"NP",IF(OR(C12="NDD",C12=""),"NDD",+C12/T3.Normalización!$E13))</f>
        <v>NP</v>
      </c>
      <c r="G12" s="272" t="str">
        <f>IF($A25=FALSE,"NP",IF(OR(E12="NDD",E12="",C12="ndd",C12=""),"NDD",+E12/C12))</f>
        <v>NP</v>
      </c>
      <c r="I12" s="183" t="str">
        <f>IF(AND($A25=TRUE,COUNTBLANK(C12:E12)&gt;0),"Existen celdas vacías en Distribución / Transporte, favor completar","")</f>
        <v/>
      </c>
    </row>
    <row r="13" spans="1:10" ht="16.5" customHeight="1" thickBot="1" x14ac:dyDescent="0.3">
      <c r="A13" s="517" t="s">
        <v>12</v>
      </c>
      <c r="B13" s="518"/>
      <c r="C13" s="35"/>
      <c r="D13" s="202"/>
      <c r="E13" s="35" t="str">
        <f>IFERROR(+#REF!-#REF!,"")</f>
        <v/>
      </c>
      <c r="F13" s="279" t="str">
        <f>IF($A26=FALSE,"NP",IF(OR(C13="NDD",C13=""),"NDD",+C13/T3.Normalización!$E14))</f>
        <v>NP</v>
      </c>
      <c r="G13" s="272" t="str">
        <f>IF($A26=FALSE,"NP",IF(OR(E13="NDD",E13="",C13="ndd",C13=""),"NDD",+E13/C13))</f>
        <v>NP</v>
      </c>
      <c r="I13" s="183" t="str">
        <f>IF(AND($A26=TRUE,COUNTBLANK(C13:E13)&gt;0),"Existen celdas vacías en Refinación, favor completar","")</f>
        <v/>
      </c>
    </row>
    <row r="14" spans="1:10" ht="16.5" customHeight="1" thickBot="1" x14ac:dyDescent="0.3">
      <c r="A14" s="490" t="s">
        <v>20</v>
      </c>
      <c r="B14" s="491"/>
      <c r="C14" s="35"/>
      <c r="D14" s="202"/>
      <c r="E14" s="35" t="str">
        <f>IFERROR(+#REF!-#REF!,"")</f>
        <v/>
      </c>
      <c r="F14" s="279" t="str">
        <f>IF($A27=FALSE,"NP",IF(OR(C14="NDD",C14=""),"NDD",+C14/T3.Normalización!$E15))</f>
        <v>NP</v>
      </c>
      <c r="G14" s="272" t="str">
        <f>IF($A27=FALSE,"NP",IF(OR(E14="NDD",E14="",C14="ndd",C14=""),"NDD",+E14/C14))</f>
        <v>NP</v>
      </c>
      <c r="I14" s="183" t="str">
        <f>IF(AND($A27=TRUE,COUNTBLANK(C14:E14)&gt;0),"Existen celdas vacías en Petroquímica, favor completar","")</f>
        <v/>
      </c>
    </row>
    <row r="15" spans="1:10" s="9" customFormat="1" ht="16.5" customHeight="1" thickBot="1" x14ac:dyDescent="0.3">
      <c r="A15" s="49"/>
      <c r="B15" s="49"/>
      <c r="C15" s="50"/>
      <c r="D15" s="50"/>
      <c r="E15" s="50"/>
      <c r="F15" s="51"/>
      <c r="G15" s="54"/>
    </row>
    <row r="16" spans="1:10" ht="16.5" thickBot="1" x14ac:dyDescent="0.3">
      <c r="A16" s="474" t="s">
        <v>8</v>
      </c>
      <c r="B16" s="475"/>
      <c r="C16" s="475"/>
      <c r="D16" s="475"/>
      <c r="E16" s="475"/>
      <c r="F16" s="475"/>
      <c r="G16" s="476"/>
    </row>
    <row r="19" spans="1:1" x14ac:dyDescent="0.25">
      <c r="A19" s="171"/>
    </row>
    <row r="20" spans="1:1" x14ac:dyDescent="0.25">
      <c r="A20" s="184" t="b">
        <f>+T1.Contacto!B15</f>
        <v>0</v>
      </c>
    </row>
    <row r="21" spans="1:1" x14ac:dyDescent="0.25">
      <c r="A21" s="184" t="b">
        <f>+T1.Contacto!B16</f>
        <v>0</v>
      </c>
    </row>
    <row r="22" spans="1:1" x14ac:dyDescent="0.25">
      <c r="A22" s="184" t="b">
        <f>+T1.Contacto!B17</f>
        <v>0</v>
      </c>
    </row>
    <row r="23" spans="1:1" x14ac:dyDescent="0.25">
      <c r="A23" s="184" t="b">
        <f>+T1.Contacto!B18</f>
        <v>0</v>
      </c>
    </row>
    <row r="24" spans="1:1" x14ac:dyDescent="0.25">
      <c r="A24" s="184" t="b">
        <f>+T1.Contacto!B19</f>
        <v>0</v>
      </c>
    </row>
    <row r="25" spans="1:1" x14ac:dyDescent="0.25">
      <c r="A25" s="184" t="b">
        <f>+T1.Contacto!B20</f>
        <v>0</v>
      </c>
    </row>
    <row r="26" spans="1:1" x14ac:dyDescent="0.25">
      <c r="A26" s="184" t="b">
        <f>+T1.Contacto!B21</f>
        <v>0</v>
      </c>
    </row>
    <row r="27" spans="1:1" x14ac:dyDescent="0.25">
      <c r="A27" s="184" t="b">
        <f>+T1.Contacto!B22</f>
        <v>0</v>
      </c>
    </row>
    <row r="28" spans="1:1" x14ac:dyDescent="0.25">
      <c r="A28" s="171"/>
    </row>
  </sheetData>
  <mergeCells count="10">
    <mergeCell ref="A12:B12"/>
    <mergeCell ref="A13:B13"/>
    <mergeCell ref="A14:B14"/>
    <mergeCell ref="A16:G16"/>
    <mergeCell ref="F4:G4"/>
    <mergeCell ref="A1:F1"/>
    <mergeCell ref="A5:B5"/>
    <mergeCell ref="A6:A9"/>
    <mergeCell ref="A10:B10"/>
    <mergeCell ref="A11:B11"/>
  </mergeCells>
  <conditionalFormatting sqref="C8:G8">
    <cfRule type="expression" dxfId="30" priority="12">
      <formula>$A$22=FALSE</formula>
    </cfRule>
  </conditionalFormatting>
  <conditionalFormatting sqref="C9:G9">
    <cfRule type="containsText" dxfId="29" priority="11" operator="containsText" text="NP">
      <formula>NOT(ISERROR(SEARCH("NP",C9)))</formula>
    </cfRule>
  </conditionalFormatting>
  <conditionalFormatting sqref="C10:G10">
    <cfRule type="expression" dxfId="28" priority="10">
      <formula>$A$23=FALSE</formula>
    </cfRule>
  </conditionalFormatting>
  <conditionalFormatting sqref="C11:G11">
    <cfRule type="expression" dxfId="27" priority="9">
      <formula>$A$24=FALSE</formula>
    </cfRule>
  </conditionalFormatting>
  <conditionalFormatting sqref="C12:G12">
    <cfRule type="expression" dxfId="26" priority="8">
      <formula>$A$25=FALSE</formula>
    </cfRule>
  </conditionalFormatting>
  <conditionalFormatting sqref="C13:G13">
    <cfRule type="expression" dxfId="25" priority="7">
      <formula>$A$26=FALSE</formula>
    </cfRule>
  </conditionalFormatting>
  <conditionalFormatting sqref="C14:G14">
    <cfRule type="expression" dxfId="24" priority="6">
      <formula>$A$27=FALSE</formula>
    </cfRule>
  </conditionalFormatting>
  <conditionalFormatting sqref="I9">
    <cfRule type="cellIs" dxfId="23" priority="3" operator="equal">
      <formula>"OK"</formula>
    </cfRule>
  </conditionalFormatting>
  <conditionalFormatting sqref="C6:G6">
    <cfRule type="expression" dxfId="22" priority="2">
      <formula>$A$20=FALSE</formula>
    </cfRule>
  </conditionalFormatting>
  <conditionalFormatting sqref="C7:G7">
    <cfRule type="expression" dxfId="21" priority="1">
      <formula>$A$21=FALSE</formula>
    </cfRule>
  </conditionalFormatting>
  <pageMargins left="0.75" right="0.75" top="1" bottom="1" header="0" footer="0"/>
  <pageSetup paperSize="9" orientation="landscape" r:id="rId1"/>
  <headerFooter alignWithMargins="0"/>
  <ignoredErrors>
    <ignoredError sqref="C10:E14 F6:G14 C9 E9" unlockedFormula="1"/>
    <ignoredError sqref="D9" formula="1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33"/>
  <sheetViews>
    <sheetView showGridLines="0" zoomScale="80" zoomScaleNormal="80" workbookViewId="0">
      <selection activeCell="K22" sqref="K22"/>
    </sheetView>
  </sheetViews>
  <sheetFormatPr baseColWidth="10" defaultRowHeight="15" x14ac:dyDescent="0.25"/>
  <cols>
    <col min="1" max="1" width="11.42578125" style="2" customWidth="1"/>
    <col min="2" max="2" width="18" style="2" customWidth="1"/>
    <col min="3" max="8" width="10.28515625" style="2" customWidth="1"/>
    <col min="9" max="9" width="8.5703125" style="2" bestFit="1" customWidth="1"/>
    <col min="10" max="10" width="9.85546875" style="2" bestFit="1" customWidth="1"/>
    <col min="11" max="11" width="9.140625" style="2" bestFit="1" customWidth="1"/>
    <col min="12" max="12" width="9.85546875" style="2" bestFit="1" customWidth="1"/>
    <col min="13" max="13" width="7.7109375" style="2" bestFit="1" customWidth="1"/>
    <col min="14" max="14" width="9.140625" style="2" bestFit="1" customWidth="1"/>
    <col min="15" max="15" width="9.85546875" style="2" bestFit="1" customWidth="1"/>
    <col min="16" max="16" width="7.7109375" style="2" bestFit="1" customWidth="1"/>
    <col min="17" max="17" width="9.140625" style="2" bestFit="1" customWidth="1"/>
    <col min="18" max="18" width="9.85546875" style="2" bestFit="1" customWidth="1"/>
    <col min="19" max="19" width="7.7109375" style="2" bestFit="1" customWidth="1"/>
    <col min="20" max="20" width="8.5703125" style="2" bestFit="1" customWidth="1"/>
    <col min="21" max="21" width="9.85546875" style="2" bestFit="1" customWidth="1"/>
    <col min="22" max="22" width="7.7109375" style="2" bestFit="1" customWidth="1"/>
    <col min="23" max="23" width="2.140625" style="2" customWidth="1"/>
    <col min="24" max="16384" width="11.42578125" style="2"/>
  </cols>
  <sheetData>
    <row r="1" spans="1:25" ht="54.75" customHeight="1" x14ac:dyDescent="0.25">
      <c r="A1" s="477" t="s">
        <v>153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281"/>
      <c r="U1" s="281"/>
      <c r="V1" s="55"/>
      <c r="W1" s="1"/>
      <c r="X1" s="1"/>
      <c r="Y1" s="1"/>
    </row>
    <row r="2" spans="1:25" s="57" customFormat="1" ht="7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6"/>
      <c r="W2" s="56"/>
      <c r="X2" s="56"/>
      <c r="Y2" s="56"/>
    </row>
    <row r="3" spans="1:25" ht="16.5" thickBot="1" x14ac:dyDescent="0.3">
      <c r="A3" s="360" t="s">
        <v>137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"/>
      <c r="W3" s="1"/>
      <c r="X3" s="1"/>
      <c r="Y3" s="1"/>
    </row>
    <row r="4" spans="1:25" ht="15.75" customHeight="1" thickBot="1" x14ac:dyDescent="0.3">
      <c r="A4" s="305"/>
      <c r="B4" s="305"/>
      <c r="C4" s="11"/>
      <c r="D4" s="11"/>
      <c r="E4" s="11"/>
      <c r="F4" s="11"/>
      <c r="G4" s="11"/>
      <c r="H4" s="11"/>
      <c r="I4" s="11"/>
      <c r="J4" s="11"/>
      <c r="K4" s="519" t="s">
        <v>30</v>
      </c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0"/>
    </row>
    <row r="5" spans="1:25" ht="58.5" customHeight="1" thickBot="1" x14ac:dyDescent="0.3">
      <c r="A5" s="307"/>
      <c r="B5" s="306"/>
      <c r="C5" s="482" t="s">
        <v>145</v>
      </c>
      <c r="D5" s="483"/>
      <c r="E5" s="482" t="s">
        <v>146</v>
      </c>
      <c r="F5" s="483"/>
      <c r="G5" s="482" t="s">
        <v>147</v>
      </c>
      <c r="H5" s="483"/>
      <c r="I5" s="524" t="s">
        <v>148</v>
      </c>
      <c r="J5" s="525"/>
      <c r="K5" s="526" t="s">
        <v>149</v>
      </c>
      <c r="L5" s="527"/>
      <c r="M5" s="528"/>
      <c r="N5" s="526" t="s">
        <v>150</v>
      </c>
      <c r="O5" s="527"/>
      <c r="P5" s="528"/>
      <c r="Q5" s="526" t="s">
        <v>151</v>
      </c>
      <c r="R5" s="527"/>
      <c r="S5" s="528"/>
      <c r="T5" s="526" t="s">
        <v>152</v>
      </c>
      <c r="U5" s="527"/>
      <c r="V5" s="528"/>
      <c r="W5" s="6"/>
      <c r="X5" s="7"/>
    </row>
    <row r="6" spans="1:25" ht="15.75" thickBot="1" x14ac:dyDescent="0.3">
      <c r="A6" s="482" t="s">
        <v>14</v>
      </c>
      <c r="B6" s="522"/>
      <c r="C6" s="298" t="s">
        <v>140</v>
      </c>
      <c r="D6" s="299" t="s">
        <v>141</v>
      </c>
      <c r="E6" s="298" t="s">
        <v>140</v>
      </c>
      <c r="F6" s="299" t="s">
        <v>141</v>
      </c>
      <c r="G6" s="298" t="s">
        <v>140</v>
      </c>
      <c r="H6" s="299" t="s">
        <v>141</v>
      </c>
      <c r="I6" s="311" t="s">
        <v>140</v>
      </c>
      <c r="J6" s="312" t="s">
        <v>141</v>
      </c>
      <c r="K6" s="309" t="s">
        <v>140</v>
      </c>
      <c r="L6" s="308" t="s">
        <v>141</v>
      </c>
      <c r="M6" s="310" t="s">
        <v>142</v>
      </c>
      <c r="N6" s="302" t="s">
        <v>140</v>
      </c>
      <c r="O6" s="303" t="s">
        <v>141</v>
      </c>
      <c r="P6" s="304" t="s">
        <v>142</v>
      </c>
      <c r="Q6" s="302" t="s">
        <v>140</v>
      </c>
      <c r="R6" s="303" t="s">
        <v>141</v>
      </c>
      <c r="S6" s="304" t="s">
        <v>142</v>
      </c>
      <c r="T6" s="302" t="s">
        <v>140</v>
      </c>
      <c r="U6" s="303" t="s">
        <v>141</v>
      </c>
      <c r="V6" s="304" t="s">
        <v>142</v>
      </c>
      <c r="W6" s="285"/>
      <c r="X6" s="7"/>
    </row>
    <row r="7" spans="1:25" ht="17.25" customHeight="1" thickBot="1" x14ac:dyDescent="0.3">
      <c r="A7" s="492" t="s">
        <v>115</v>
      </c>
      <c r="B7" s="282" t="s">
        <v>19</v>
      </c>
      <c r="C7" s="296"/>
      <c r="D7" s="297"/>
      <c r="E7" s="300"/>
      <c r="F7" s="301"/>
      <c r="G7" s="300"/>
      <c r="H7" s="301"/>
      <c r="I7" s="353" t="str">
        <f>IF(T1.Contacto!B15=FALSE,"",IF(OR(C7="ndd",E7="ndd",G7="ndd",C7="",E7="",G7=""),"ndd",C7+E7*28+G7*265))</f>
        <v/>
      </c>
      <c r="J7" s="349" t="str">
        <f>IF(T1.Contacto!B15=FALSE,"",IF(OR(D7="ndd",F7="ndd",H7="ndd",D7="",F7="",H7=""),"ndd",D7+F7*28+H7*265))</f>
        <v/>
      </c>
      <c r="K7" s="313" t="str">
        <f>IF(T1.Contacto!$B$15=FALSE,"",IF(OR(C7="ndd",C7=""),"ndd",C7/T3.Normalización!$E7))</f>
        <v/>
      </c>
      <c r="L7" s="337" t="str">
        <f>IF(T1.Contacto!$B$15=FALSE,"",IF(OR(D7="ndd",D7=""),"ndd",D7/T3.Normalización!$E7))</f>
        <v/>
      </c>
      <c r="M7" s="314" t="str">
        <f>IF(T1.Contacto!$B$15=FALSE,"",IF(OR(C7="ndd",D7="ndd",C7="",D7=""),"ndd",(C7+D7)/T3.Normalización!$E7))</f>
        <v/>
      </c>
      <c r="N7" s="315" t="str">
        <f>IF(T1.Contacto!$B15=FALSE,"",IF(OR(E7="ndd",E7=""),"ndd",E7/T3.Normalización!$E7))</f>
        <v/>
      </c>
      <c r="O7" s="316" t="str">
        <f>IF(T1.Contacto!$B15=FALSE,"",IF(OR(H7="ndd",H7=""),"ndd",H7/T3.Normalización!$E7))</f>
        <v/>
      </c>
      <c r="P7" s="317" t="str">
        <f>IF(T1.Contacto!$B$15=FALSE,"",IF(OR(H7="ndd",G7="ndd",H7="",G7=""),"ndd",(H7+G7)/T3.Normalización!$E7))</f>
        <v/>
      </c>
      <c r="Q7" s="318" t="str">
        <f>IF(T1.Contacto!$B15=FALSE,"",IF(OR(G7="ndd",G7=""),"ndd",G7/T3.Normalización!$E7))</f>
        <v/>
      </c>
      <c r="R7" s="316" t="str">
        <f>IF(T1.Contacto!$B15=FALSE,"",IF(OR(J7="ndd",J7=""),"ndd",J7/T3.Normalización!$E7))</f>
        <v/>
      </c>
      <c r="S7" s="317" t="str">
        <f>IF(T1.Contacto!$B$15=FALSE,"",IF(OR(I7="ndd",J7="ndd",I7="",J7=""),"ndd",(I7+J7)/T3.Normalización!$E7))</f>
        <v/>
      </c>
      <c r="T7" s="318" t="str">
        <f>IF(T1.Contacto!$B15=FALSE,"",IF(OR(I7="ndd",I7=""),"ndd",I7/T3.Normalización!$E7))</f>
        <v/>
      </c>
      <c r="U7" s="316" t="str">
        <f>IF(T1.Contacto!$B15=FALSE,"",IF(OR(J7="ndd",J7=""),"ndd",J7/T3.Normalización!$E7))</f>
        <v/>
      </c>
      <c r="V7" s="317" t="str">
        <f>IF(T1.Contacto!$B$15=FALSE,"",IF(OR(I7="ndd",J7="ndd",I7="",J7=""),"ndd",(I7+J7)/T3.Normalización!$E7))</f>
        <v/>
      </c>
      <c r="W7" s="48"/>
      <c r="X7" s="183" t="str">
        <f>IF(AND(T1.Contacto!B15=TRUE,COUNTBLANK(C7:H7)&gt;0),"Existen celdas vacías en Producción costa afuera, favor completar","")</f>
        <v/>
      </c>
    </row>
    <row r="8" spans="1:25" ht="15.75" thickBot="1" x14ac:dyDescent="0.3">
      <c r="A8" s="493"/>
      <c r="B8" s="283" t="s">
        <v>18</v>
      </c>
      <c r="C8" s="296"/>
      <c r="D8" s="287"/>
      <c r="E8" s="292"/>
      <c r="F8" s="293"/>
      <c r="G8" s="292"/>
      <c r="H8" s="293"/>
      <c r="I8" s="319" t="str">
        <f>IF(T1.Contacto!B16=FALSE,"",IF(OR(C8="ndd",E8="ndd",G8="ndd",C8="",E8="",G8=""),"ndd",C8+E8*28+G8*265))</f>
        <v/>
      </c>
      <c r="J8" s="350" t="str">
        <f>IF(T1.Contacto!B16=FALSE,"",IF(OR(D8="ndd",F8="ndd",H8="ndd",D8="",F8="",H8=""),"ndd",D8+F8*28+H8*265))</f>
        <v/>
      </c>
      <c r="K8" s="320" t="str">
        <f>IF(T1.Contacto!$B$16=FALSE,"",IF(OR(C8="ndd",C8=""),"ndd",C8/T3.Normalización!$E8))</f>
        <v/>
      </c>
      <c r="L8" s="338" t="str">
        <f>IF(T1.Contacto!$B$16=FALSE,"",IF(OR(D8="ndd",D8=""),"ndd",D8/T3.Normalización!$E8))</f>
        <v/>
      </c>
      <c r="M8" s="321" t="str">
        <f>IF(T1.Contacto!$B$16=FALSE,"",IF(OR(C8="ndd",D8="ndd",C8="",D8=""),"ndd",(C8+D8)/T3.Normalización!$E8))</f>
        <v/>
      </c>
      <c r="N8" s="315" t="str">
        <f>IF(T1.Contacto!$B16=FALSE,"",IF(OR(E8="ndd",E8=""),"ndd",E8/T3.Normalización!$E8))</f>
        <v/>
      </c>
      <c r="O8" s="316" t="str">
        <f>IF(T1.Contacto!$B16=FALSE,"",IF(OR(H8="ndd",H8=""),"ndd",H8/T3.Normalización!$E8))</f>
        <v/>
      </c>
      <c r="P8" s="317" t="str">
        <f>IF(T1.Contacto!$B$16=FALSE,"",IF(OR(H8="ndd",G8="ndd",H8="",G8=""),"ndd",(H8+G8)/T3.Normalización!$E8))</f>
        <v/>
      </c>
      <c r="Q8" s="318" t="str">
        <f>IF(T1.Contacto!$B16=FALSE,"",IF(OR(G8="ndd",G8=""),"ndd",G8/T3.Normalización!$E8))</f>
        <v/>
      </c>
      <c r="R8" s="316" t="str">
        <f>IF(T1.Contacto!$B16=FALSE,"",IF(OR(J8="ndd",J8=""),"ndd",J8/T3.Normalización!$E8))</f>
        <v/>
      </c>
      <c r="S8" s="317" t="str">
        <f>IF(T1.Contacto!$B$16=FALSE,"",IF(OR(I8="ndd",J8="ndd",I8="",J8=""),"ndd",(I8+J8)/T3.Normalización!$E8))</f>
        <v/>
      </c>
      <c r="T8" s="318" t="str">
        <f>IF(T1.Contacto!$B16=FALSE,"",IF(OR(I8="ndd",I8=""),"ndd",I8/T3.Normalización!$E8))</f>
        <v/>
      </c>
      <c r="U8" s="316" t="str">
        <f>IF(T1.Contacto!$B16=FALSE,"",IF(OR(J8="ndd",J8=""),"ndd",J8/T3.Normalización!$E8))</f>
        <v/>
      </c>
      <c r="V8" s="317" t="str">
        <f>IF(T1.Contacto!$B$16=FALSE,"",IF(OR(I8="ndd",J8="ndd",I8="",J8=""),"ndd",(I8+J8)/T3.Normalización!$E8))</f>
        <v/>
      </c>
      <c r="W8" s="48"/>
      <c r="X8" s="183" t="str">
        <f>IF(AND(T1.Contacto!B16=TRUE,COUNTBLANK(C8:H8)&gt;0),"Existen celdas vacías en Producción en tierra, favor completar","")</f>
        <v/>
      </c>
    </row>
    <row r="9" spans="1:25" ht="15.75" thickBot="1" x14ac:dyDescent="0.3">
      <c r="A9" s="493"/>
      <c r="B9" s="283" t="s">
        <v>31</v>
      </c>
      <c r="C9" s="286"/>
      <c r="D9" s="287"/>
      <c r="E9" s="292"/>
      <c r="F9" s="293"/>
      <c r="G9" s="292"/>
      <c r="H9" s="293"/>
      <c r="I9" s="319" t="str">
        <f>IF(T1.Contacto!B17=FALSE,"",IF(OR(C9="ndd",E9="ndd",G9="ndd",C9="",E9="",G9=""),"ndd",C9+E9*28+G9*265))</f>
        <v/>
      </c>
      <c r="J9" s="350" t="str">
        <f>IF(T1.Contacto!B17=FALSE,"",IF(OR(D9="ndd",F9="ndd",H9="ndd",D9="",F9="",H9=""),"ndd",D9+F9*28+H9*265))</f>
        <v/>
      </c>
      <c r="K9" s="320" t="str">
        <f>IF(+T1.Contacto!$B$17=FALSE,"",IF(OR(C9="ndd",C9=""),"ndd",C9/T3.Normalización!$E9))</f>
        <v/>
      </c>
      <c r="L9" s="338" t="str">
        <f>IF(+T1.Contacto!$B$17=FALSE,"",IF(OR(D9="ndd",D9=""),"ndd",D9/T3.Normalización!$E9))</f>
        <v/>
      </c>
      <c r="M9" s="321" t="str">
        <f>IF(T1.Contacto!$B$17=FALSE,"",IF(OR(C9="ndd",D9="ndd",C9="",D9=""),"ndd",(C9+D9)/T3.Normalización!$E9))</f>
        <v/>
      </c>
      <c r="N9" s="315" t="str">
        <f>IF(T1.Contacto!$B17=FALSE,"",IF(OR(E9="ndd",E9=""),"ndd",E9/T3.Normalización!$E9))</f>
        <v/>
      </c>
      <c r="O9" s="316" t="str">
        <f>IF(T1.Contacto!$B17=FALSE,"",IF(OR(H9="ndd",H9=""),"ndd",H9/T3.Normalización!$E9))</f>
        <v/>
      </c>
      <c r="P9" s="317" t="str">
        <f>IF(T1.Contacto!$B$17=FALSE,"",IF(OR(H9="ndd",G9="ndd",H9="",G9=""),"ndd",(H9+G9)/T3.Normalización!$E9))</f>
        <v/>
      </c>
      <c r="Q9" s="318" t="str">
        <f>IF(T1.Contacto!$B17=FALSE,"",IF(OR(G9="ndd",G9=""),"ndd",G9/T3.Normalización!$E9))</f>
        <v/>
      </c>
      <c r="R9" s="316" t="str">
        <f>IF(T1.Contacto!$B17=FALSE,"",IF(OR(J9="ndd",J9=""),"ndd",J9/T3.Normalización!$E9))</f>
        <v/>
      </c>
      <c r="S9" s="317" t="str">
        <f>IF(T1.Contacto!$B$17=FALSE,"",IF(OR(I9="ndd",J9="ndd",I9="",J9=""),"ndd",(I9+J9)/T3.Normalización!$E9))</f>
        <v/>
      </c>
      <c r="T9" s="318" t="str">
        <f>IF(T1.Contacto!$B17=FALSE,"",IF(OR(I9="ndd",I9=""),"ndd",I9/T3.Normalización!$E9))</f>
        <v/>
      </c>
      <c r="U9" s="316" t="str">
        <f>IF(T1.Contacto!$B17=FALSE,"",IF(OR(J9="ndd",J9=""),"ndd",J9/T3.Normalización!$E9))</f>
        <v/>
      </c>
      <c r="V9" s="317" t="str">
        <f>IF(T1.Contacto!$B$17=FALSE,"",IF(OR(I9="ndd",J9="ndd",I9="",J9=""),"ndd",(I9+J9)/T3.Normalización!$E9))</f>
        <v/>
      </c>
      <c r="W9" s="48"/>
      <c r="X9" s="183" t="str">
        <f>IF(AND(T1.Contacto!B17=TRUE,COUNTBLANK(C9:H9)&gt;0),"Existen celdas vacías en Producción no convencionales, favor completar","")</f>
        <v/>
      </c>
    </row>
    <row r="10" spans="1:25" ht="15.75" thickBot="1" x14ac:dyDescent="0.3">
      <c r="A10" s="494"/>
      <c r="B10" s="284" t="s">
        <v>112</v>
      </c>
      <c r="C10" s="335" t="str">
        <f>IF(AND(T1.Contacto!$B15=FALSE,T1.Contacto!$B16=FALSE),"",IF(AND(T1.Contacto!$B15=TRUE,OR(C7="",C7="NDD")),"NDD",IF(AND(T1.Contacto!$B16=TRUE,OR(C8="",C8="NDD")),"NDD",SUM(C7:C8))))</f>
        <v/>
      </c>
      <c r="D10" s="289" t="str">
        <f>IF(AND(T1.Contacto!$B15=FALSE,T1.Contacto!$B16=FALSE),"",IF(AND(T1.Contacto!$B15=TRUE,OR(D7="",D7="NDD")),"NDD",IF(AND(T1.Contacto!$B16=TRUE,OR(D8="",D8="NDD")),"NDD",SUM(D7:D8))))</f>
        <v/>
      </c>
      <c r="E10" s="288" t="str">
        <f>IF(AND(T1.Contacto!$B15=FALSE,T1.Contacto!$B16=FALSE),"",IF(AND(T1.Contacto!$B15=TRUE,OR(E7="",E7="NDD")),"NDD",IF(AND(T1.Contacto!$B16=TRUE,OR(E8="",E8="NDD")),"NDD",SUM(E7:E8))))</f>
        <v/>
      </c>
      <c r="F10" s="336" t="str">
        <f>IF(AND(T1.Contacto!$B15=FALSE,T1.Contacto!$B16=FALSE),"",IF(AND(T1.Contacto!$B15=TRUE,OR(F7="",F7="NDD")),"NDD",IF(AND(T1.Contacto!$B16=TRUE,OR(F8="",F8="NDD")),"NDD",SUM(F7:F8))))</f>
        <v/>
      </c>
      <c r="G10" s="335" t="str">
        <f>IF(AND(T1.Contacto!$B15=FALSE,T1.Contacto!$B16=FALSE),"",IF(AND(T1.Contacto!$B15=TRUE,OR(G7="",G7="NDD")),"NDD",IF(AND(T1.Contacto!$B16=TRUE,OR(G8="",G8="NDD")),"NDD",SUM(G7:G8))))</f>
        <v/>
      </c>
      <c r="H10" s="289" t="str">
        <f>IF(AND(T1.Contacto!$B15=FALSE,T1.Contacto!$B16=FALSE),"",IF(AND(T1.Contacto!$B15=TRUE,OR(H7="",H7="NDD")),"NDD",IF(AND(T1.Contacto!$B16=TRUE,OR(H8="",H8="NDD")),"NDD",SUM(H7:H8))))</f>
        <v/>
      </c>
      <c r="I10" s="348" t="str">
        <f>IF(AND(T1.Contacto!$B15=FALSE,T1.Contacto!$B16=FALSE),"",IF(AND(T1.Contacto!$B15=TRUE,OR(I7="",I7="NDD")),"NDD",IF(AND(T1.Contacto!$B16=TRUE,OR(I8="",I8="NDD")),"NDD",SUM(I7:I8))))</f>
        <v/>
      </c>
      <c r="J10" s="351" t="str">
        <f>IF(AND(T1.Contacto!$B15=FALSE,T1.Contacto!$B16=FALSE),"",IF(AND(T1.Contacto!$B15=TRUE,OR(J7="",J7="NDD")),"NDD",IF(AND(T1.Contacto!$B16=TRUE,OR(J8="",J8="NDD")),"NDD",SUM(J7:J8))))</f>
        <v/>
      </c>
      <c r="K10" s="341" t="str">
        <f>IF(AND(T1.Contacto!$B15=FALSE,T1.Contacto!$B16=FALSE),"",IF(OR(C10="ndd",C10=""),"ndd",C10/T3.Normalización!$E10))</f>
        <v/>
      </c>
      <c r="L10" s="342" t="str">
        <f>IF(AND(T1.Contacto!$B15=FALSE,T1.Contacto!$B16=FALSE),"",IF(OR(D10="ndd",D10=""),"ndd",D10/T3.Normalización!$E10))</f>
        <v/>
      </c>
      <c r="M10" s="343" t="str">
        <f>IF(AND(T1.Contacto!$B15=FALSE,T1.Contacto!$B16=FALSE),"",IF(OR(D10="ndd",D10="",C10="ndd",C10=""),"ndd",(D10+C10)/T3.Normalización!$E10))</f>
        <v/>
      </c>
      <c r="N10" s="344" t="str">
        <f>IF(AND(T1.Contacto!$B15=FALSE,T1.Contacto!$B16=FALSE),"",IF(OR(E10="ndd",E10=""),"ndd",E10/T3.Normalización!$E10))</f>
        <v/>
      </c>
      <c r="O10" s="345" t="str">
        <f>IF(AND(T1.Contacto!$B15=FALSE,T1.Contacto!$B16=FALSE),"",IF(OR(F10="ndd",F10=""),"ndd",F10/T3.Normalización!$E10))</f>
        <v/>
      </c>
      <c r="P10" s="346" t="str">
        <f>IF(AND(T1.Contacto!$B15=FALSE,T1.Contacto!$B16=FALSE),"",IF(OR(E10="ndd",E10="",F10="ndd",F10=""),"ndd",(E10+F10)/T3.Normalización!$E10))</f>
        <v/>
      </c>
      <c r="Q10" s="344" t="str">
        <f>IF(AND(T1.Contacto!$B15=FALSE,T1.Contacto!$B16=FALSE),"",IF(OR(G10="ndd",G10=""),"ndd",G10/T3.Normalización!$E10))</f>
        <v/>
      </c>
      <c r="R10" s="347" t="str">
        <f>IF(AND(T1.Contacto!$B15=FALSE,T1.Contacto!$B16=FALSE),"",IF(OR(H10="ndd",H10=""),"ndd",H10/T3.Normalización!$E10))</f>
        <v/>
      </c>
      <c r="S10" s="343" t="str">
        <f>IF(AND(T1.Contacto!$B15=FALSE,T1.Contacto!$B16=FALSE),"",IF(OR(H10="ndd",H10="",G10="ndd",G10=""),"ndd",(H10+G10)/T3.Normalización!$E10))</f>
        <v/>
      </c>
      <c r="T10" s="344" t="str">
        <f>IF(AND(T1.Contacto!$B15=FALSE,T1.Contacto!$B16=FALSE),"",IF(OR(I10="ndd",I10=""),"ndd",I10/T3.Normalización!$E10))</f>
        <v/>
      </c>
      <c r="U10" s="347" t="str">
        <f>IF(AND(T1.Contacto!$B15=FALSE,T1.Contacto!$B16=FALSE),"",IF(OR(J10="ndd",J10=""),"ndd",J10/T3.Normalización!$E10))</f>
        <v/>
      </c>
      <c r="V10" s="343" t="str">
        <f>IF(AND(T1.Contacto!$B15=FALSE,T1.Contacto!$B16=FALSE),"",IF(OR(I10="ndd",I10="",J10="ndd",J10=""),"ndd",(I10+J10)/T3.Normalización!$E10))</f>
        <v/>
      </c>
      <c r="X10" s="183"/>
    </row>
    <row r="11" spans="1:25" ht="16.5" customHeight="1" thickBot="1" x14ac:dyDescent="0.3">
      <c r="A11" s="484" t="s">
        <v>10</v>
      </c>
      <c r="B11" s="523"/>
      <c r="C11" s="286"/>
      <c r="D11" s="287"/>
      <c r="E11" s="292"/>
      <c r="F11" s="293"/>
      <c r="G11" s="292"/>
      <c r="H11" s="293"/>
      <c r="I11" s="319" t="str">
        <f>IF(T1.Contacto!B18=FALSE,"",IF(OR(C11="ndd",E11="ndd",G11="ndd",C11="",E11="",G11=""),"ndd",C11+E11*28+G11*265))</f>
        <v/>
      </c>
      <c r="J11" s="350" t="str">
        <f>IF(T1.Contacto!B18=FALSE,"",IF(OR(D11="ndd",F11="ndd",H11="ndd",D11="",F11="",H11=""),"ndd",D11+F11*28+H11*265))</f>
        <v/>
      </c>
      <c r="K11" s="320" t="str">
        <f>IF(T1.Contacto!$B$18=FALSE,"",IF(OR(C11="ndd",C11=""),"ndd",C11/T3.Normalización!$E11))</f>
        <v/>
      </c>
      <c r="L11" s="338" t="str">
        <f>IF(T1.Contacto!$B$18=FALSE,"",IF(OR(D11="ndd",D11=""),"ndd",D11/T3.Normalización!$E11))</f>
        <v/>
      </c>
      <c r="M11" s="321" t="str">
        <f>IF(T1.Contacto!$B$18=FALSE,"",IF(OR(C11="ndd",D11="ndd",C11="",D11=""),"ndd",(C11+D11)/T3.Normalización!$E11))</f>
        <v/>
      </c>
      <c r="N11" s="315" t="str">
        <f>IF(T1.Contacto!$B18=FALSE,"",IF(OR(E11="ndd",E11=""),"ndd",E11/T3.Normalización!$E11))</f>
        <v/>
      </c>
      <c r="O11" s="316" t="str">
        <f>IF(T1.Contacto!$B18=FALSE,"",IF(OR(H11="ndd",H11=""),"ndd",H11/T3.Normalización!$E11))</f>
        <v/>
      </c>
      <c r="P11" s="317" t="str">
        <f>IF(T1.Contacto!$B$18=FALSE,"",IF(OR(H11="ndd",G11="ndd",H11="",G11=""),"ndd",(H11+G11)/T3.Normalización!$E11))</f>
        <v/>
      </c>
      <c r="Q11" s="318" t="str">
        <f>IF(T1.Contacto!$B18=FALSE,"",IF(OR(G11="ndd",G11=""),"ndd",G11/T3.Normalización!$E11))</f>
        <v/>
      </c>
      <c r="R11" s="316" t="str">
        <f>IF(T1.Contacto!$B18=FALSE,"",IF(OR(J11="ndd",J11=""),"ndd",J11/T3.Normalización!$E11))</f>
        <v/>
      </c>
      <c r="S11" s="317" t="str">
        <f>IF(T1.Contacto!$B$18=FALSE,"",IF(OR(I11="ndd",J11="ndd",I11="",J11=""),"ndd",(I11+J11)/T3.Normalización!$E11))</f>
        <v/>
      </c>
      <c r="T11" s="318" t="str">
        <f>IF(T1.Contacto!$B18=FALSE,"",IF(OR(I11="ndd",I11=""),"ndd",I11/T3.Normalización!$E11))</f>
        <v/>
      </c>
      <c r="U11" s="316" t="str">
        <f>IF(T1.Contacto!$B18=FALSE,"",IF(OR(J11="ndd",J11=""),"ndd",J11/T3.Normalización!$E11))</f>
        <v/>
      </c>
      <c r="V11" s="317" t="str">
        <f>IF(T1.Contacto!$B$18=FALSE,"",IF(OR(I11="ndd",J11="ndd",I11="",J11=""),"ndd",(I11+J11)/T3.Normalización!$E11))</f>
        <v/>
      </c>
      <c r="X11" s="183" t="str">
        <f>IF(AND(T1.Contacto!B18=TRUE,COUNTBLANK(C11:H11)&gt;0),"Existen celdas vacías en Transporte por ductos, favor completar","")</f>
        <v/>
      </c>
    </row>
    <row r="12" spans="1:25" ht="16.5" customHeight="1" thickBot="1" x14ac:dyDescent="0.3">
      <c r="A12" s="486" t="s">
        <v>11</v>
      </c>
      <c r="B12" s="532"/>
      <c r="C12" s="286"/>
      <c r="D12" s="287"/>
      <c r="E12" s="292"/>
      <c r="F12" s="293"/>
      <c r="G12" s="292"/>
      <c r="H12" s="293"/>
      <c r="I12" s="319" t="str">
        <f>IF(T1.Contacto!B19=FALSE,"",IF(OR(C12="ndd",E12="ndd",G12="ndd",C12="",E12="",G12=""),"ndd",C12+E12*28+G12*265))</f>
        <v/>
      </c>
      <c r="J12" s="350" t="str">
        <f>IF(T1.Contacto!B19=FALSE,"",IF(OR(D12="ndd",F12="ndd",H12="ndd",D12="",F12="",H12=""),"ndd",D12+F12*28+H12*265))</f>
        <v/>
      </c>
      <c r="K12" s="320" t="str">
        <f>IF(T1.Contacto!$B$19=FALSE,"",IF(OR(C12="ndd",C12=""),"ndd",C12/T3.Normalización!$E12))</f>
        <v/>
      </c>
      <c r="L12" s="338" t="str">
        <f>IF(T1.Contacto!$B$19=FALSE,"",IF(OR(D12="ndd",D12=""),"ndd",D12/T3.Normalización!$E12))</f>
        <v/>
      </c>
      <c r="M12" s="321" t="str">
        <f>IF(T1.Contacto!$B$19=FALSE,"",IF(OR(C12="ndd",D12="ndd",C12="",D12=""),"ndd",(C12+D12)/T3.Normalización!$E12))</f>
        <v/>
      </c>
      <c r="N12" s="315" t="str">
        <f>IF(T1.Contacto!$B19=FALSE,"",IF(OR(E12="ndd",E12=""),"ndd",E12/T3.Normalización!$E12))</f>
        <v/>
      </c>
      <c r="O12" s="316" t="str">
        <f>IF(T1.Contacto!$B19=FALSE,"",IF(OR(H12="ndd",H12=""),"ndd",H12/T3.Normalización!$E12))</f>
        <v/>
      </c>
      <c r="P12" s="317" t="str">
        <f>IF(T1.Contacto!$B$19=FALSE,"",IF(OR(H12="ndd",G12="ndd",H12="",G12=""),"ndd",(H12+G12)/T3.Normalización!$E12))</f>
        <v/>
      </c>
      <c r="Q12" s="318" t="str">
        <f>IF(T1.Contacto!$B19=FALSE,"",IF(OR(G12="ndd",G12=""),"ndd",G12/T3.Normalización!$E12))</f>
        <v/>
      </c>
      <c r="R12" s="316" t="str">
        <f>IF(T1.Contacto!$B19=FALSE,"",IF(OR(J12="ndd",J12=""),"ndd",J12/T3.Normalización!$E12))</f>
        <v/>
      </c>
      <c r="S12" s="317" t="str">
        <f>IF(T1.Contacto!$B$19=FALSE,"",IF(OR(I12="ndd",J12="ndd",I12="",J12=""),"ndd",(I12+J12)/T3.Normalización!$E12))</f>
        <v/>
      </c>
      <c r="T12" s="318" t="str">
        <f>IF(T1.Contacto!$B19=FALSE,"",IF(OR(I12="ndd",I12=""),"ndd",I12/T3.Normalización!$E12))</f>
        <v/>
      </c>
      <c r="U12" s="316" t="str">
        <f>IF(T1.Contacto!$B19=FALSE,"",IF(OR(J12="ndd",J12=""),"ndd",J12/T3.Normalización!$E12))</f>
        <v/>
      </c>
      <c r="V12" s="317" t="str">
        <f>IF(T1.Contacto!$B$19=FALSE,"",IF(OR(I12="ndd",J12="ndd",I12="",J12=""),"ndd",(I12+J12)/T3.Normalización!$E12))</f>
        <v/>
      </c>
      <c r="X12" s="183" t="str">
        <f>IF(AND(T1.Contacto!B19=TRUE,COUNTBLANK(C12:H12)&gt;0),"Existen celdas vacías en Movimiento de terminales, favor completar","")</f>
        <v/>
      </c>
    </row>
    <row r="13" spans="1:25" s="9" customFormat="1" ht="16.5" customHeight="1" thickBot="1" x14ac:dyDescent="0.3">
      <c r="A13" s="495" t="s">
        <v>16</v>
      </c>
      <c r="B13" s="529"/>
      <c r="C13" s="286"/>
      <c r="D13" s="287"/>
      <c r="E13" s="292"/>
      <c r="F13" s="293"/>
      <c r="G13" s="292"/>
      <c r="H13" s="293"/>
      <c r="I13" s="319" t="str">
        <f>IF(T1.Contacto!B20=FALSE,"",IF(OR(C13="ndd",E13="ndd",G13="ndd",C13="",E13="",G13=""),"ndd",C13+E13*28+G13*265))</f>
        <v/>
      </c>
      <c r="J13" s="350" t="str">
        <f>IF(T1.Contacto!B20=FALSE,"",IF(OR(D13="ndd",F13="ndd",H13="ndd",D13="",F13="",H13=""),"ndd",D13+F13*28+H13*265))</f>
        <v/>
      </c>
      <c r="K13" s="320" t="str">
        <f>IF(T1.Contacto!$B$20=FALSE,"",IF(OR(C13="ndd",C13=""),"ndd",C13/T3.Normalización!$E13))</f>
        <v/>
      </c>
      <c r="L13" s="338" t="str">
        <f>IF(T1.Contacto!$B$20=FALSE,"",IF(OR(D13="ndd",D13=""),"ndd",D13/T3.Normalización!$E13))</f>
        <v/>
      </c>
      <c r="M13" s="321" t="str">
        <f>IF(T1.Contacto!$B$20=FALSE,"",IF(OR(C13="ndd",D13="ndd",C13="",D13=""),"ndd",(C13+D13)/T3.Normalización!$E13))</f>
        <v/>
      </c>
      <c r="N13" s="315" t="str">
        <f>IF(T1.Contacto!$B20=FALSE,"",IF(OR(E13="ndd",E13=""),"ndd",E13/T3.Normalización!$E13))</f>
        <v/>
      </c>
      <c r="O13" s="316" t="str">
        <f>IF(T1.Contacto!$B20=FALSE,"",IF(OR(H13="ndd",H13=""),"ndd",H13/T3.Normalización!$E13))</f>
        <v/>
      </c>
      <c r="P13" s="317" t="str">
        <f>IF(T1.Contacto!$B$20=FALSE,"",IF(OR(H13="ndd",G13="ndd",H13="",G13=""),"ndd",(H13+G13)/T3.Normalización!$E13))</f>
        <v/>
      </c>
      <c r="Q13" s="318" t="str">
        <f>IF(T1.Contacto!$B20=FALSE,"",IF(OR(G13="ndd",G13=""),"ndd",G13/T3.Normalización!$E13))</f>
        <v/>
      </c>
      <c r="R13" s="316" t="str">
        <f>IF(T1.Contacto!$B20=FALSE,"",IF(OR(J13="ndd",J13=""),"ndd",J13/T3.Normalización!$E13))</f>
        <v/>
      </c>
      <c r="S13" s="317" t="str">
        <f>IF(T1.Contacto!$B$20=FALSE,"",IF(OR(I13="ndd",J13="ndd",I13="",J13=""),"ndd",(I13+J13)/T3.Normalización!$E13))</f>
        <v/>
      </c>
      <c r="T13" s="318" t="str">
        <f>IF(T1.Contacto!$B20=FALSE,"",IF(OR(I13="ndd",I13=""),"ndd",I13/T3.Normalización!$E13))</f>
        <v/>
      </c>
      <c r="U13" s="316" t="str">
        <f>IF(T1.Contacto!$B20=FALSE,"",IF(OR(J13="ndd",J13=""),"ndd",J13/T3.Normalización!$E13))</f>
        <v/>
      </c>
      <c r="V13" s="317" t="str">
        <f>IF(T1.Contacto!$B$20=FALSE,"",IF(OR(I13="ndd",J13="ndd",I13="",J13=""),"ndd",(I13+J13)/T3.Normalización!$E13))</f>
        <v/>
      </c>
      <c r="X13" s="183" t="str">
        <f>IF(AND(T1.Contacto!B20=TRUE,COUNTBLANK(C13:H13)&gt;0),"Existen celdas vacías en Distribución/Transporte, favor completar","")</f>
        <v/>
      </c>
    </row>
    <row r="14" spans="1:25" ht="16.5" customHeight="1" thickBot="1" x14ac:dyDescent="0.3">
      <c r="A14" s="517" t="s">
        <v>12</v>
      </c>
      <c r="B14" s="530"/>
      <c r="C14" s="286"/>
      <c r="D14" s="287"/>
      <c r="E14" s="292"/>
      <c r="F14" s="293"/>
      <c r="G14" s="292"/>
      <c r="H14" s="293"/>
      <c r="I14" s="319" t="str">
        <f>IF(T1.Contacto!B21=FALSE,"",IF(OR(C14="ndd",E14="ndd",G14="ndd",C14="",E14="",G14=""),"ndd",C14+E14*28+G14*265))</f>
        <v/>
      </c>
      <c r="J14" s="350" t="str">
        <f>IF(T1.Contacto!B21=FALSE,"",IF(OR(D14="ndd",F14="ndd",H14="ndd",D14="",F14="",H14=""),"ndd",D14+F14*28+H14*265))</f>
        <v/>
      </c>
      <c r="K14" s="320" t="str">
        <f>IF(T1.Contacto!$B$21=FALSE,"",IF(OR(C14="ndd",C14=""),"ndd",C14/T3.Normalización!$E14))</f>
        <v/>
      </c>
      <c r="L14" s="338" t="str">
        <f>IF(T1.Contacto!$B$21=FALSE,"",IF(OR(D14="ndd",D14=""),"ndd",D14/T3.Normalización!$E14))</f>
        <v/>
      </c>
      <c r="M14" s="321" t="str">
        <f>IF(T1.Contacto!$B$21=FALSE,"",IF(OR(C14="ndd",D14="ndd",C14="",D14=""),"ndd",(C14+D14)/T3.Normalización!$E14))</f>
        <v/>
      </c>
      <c r="N14" s="315" t="str">
        <f>IF(T1.Contacto!$B21=FALSE,"",IF(OR(E14="ndd",E14=""),"ndd",E14/T3.Normalización!$E14))</f>
        <v/>
      </c>
      <c r="O14" s="316" t="str">
        <f>IF(T1.Contacto!$B21=FALSE,"",IF(OR(H14="ndd",H14=""),"ndd",H14/T3.Normalización!$E14))</f>
        <v/>
      </c>
      <c r="P14" s="317" t="str">
        <f>IF(T1.Contacto!$B$21=FALSE,"",IF(OR(H14="ndd",G14="ndd",H14="",G14=""),"ndd",(H14+G14)/T3.Normalización!$E14))</f>
        <v/>
      </c>
      <c r="Q14" s="318" t="str">
        <f>IF(T1.Contacto!$B21=FALSE,"",IF(OR(G14="ndd",G14=""),"ndd",G14/T3.Normalización!$E14))</f>
        <v/>
      </c>
      <c r="R14" s="316" t="str">
        <f>IF(T1.Contacto!$B21=FALSE,"",IF(OR(J14="ndd",J14=""),"ndd",J14/T3.Normalización!$E14))</f>
        <v/>
      </c>
      <c r="S14" s="317" t="str">
        <f>IF(T1.Contacto!$B$21=FALSE,"",IF(OR(I14="ndd",J14="ndd",I14="",J14=""),"ndd",(I14+J14)/T3.Normalización!$E14))</f>
        <v/>
      </c>
      <c r="T14" s="318" t="str">
        <f>IF(T1.Contacto!$B21=FALSE,"",IF(OR(I14="ndd",I14=""),"ndd",I14/T3.Normalización!$E14))</f>
        <v/>
      </c>
      <c r="U14" s="316" t="str">
        <f>IF(T1.Contacto!$B21=FALSE,"",IF(OR(J14="ndd",J14=""),"ndd",J14/T3.Normalización!$E14))</f>
        <v/>
      </c>
      <c r="V14" s="317" t="str">
        <f>IF(T1.Contacto!$B$21=FALSE,"",IF(OR(I14="ndd",J14="ndd",I14="",J14=""),"ndd",(I14+J14)/T3.Normalización!$E14))</f>
        <v/>
      </c>
      <c r="X14" s="183" t="str">
        <f>IF(AND(T1.Contacto!B21=TRUE,COUNTBLANK(C14:H14)&gt;0),"Existen celdas vacías en Refinación, favor completar","")</f>
        <v/>
      </c>
    </row>
    <row r="15" spans="1:25" ht="16.5" customHeight="1" thickBot="1" x14ac:dyDescent="0.3">
      <c r="A15" s="490" t="s">
        <v>20</v>
      </c>
      <c r="B15" s="531"/>
      <c r="C15" s="290"/>
      <c r="D15" s="291"/>
      <c r="E15" s="294"/>
      <c r="F15" s="295"/>
      <c r="G15" s="294"/>
      <c r="H15" s="295"/>
      <c r="I15" s="322" t="str">
        <f>IF(T1.Contacto!B22=FALSE,"",IF(OR(C15="ndd",E15="ndd",G15="ndd",C15="",E15="",G15=""),"ndd",C15+E15*28+G15*265))</f>
        <v/>
      </c>
      <c r="J15" s="352" t="str">
        <f>IF(T1.Contacto!B22=FALSE,"",IF(OR(D15="ndd",F15="ndd",H15="ndd",D15="",F15="",H15=""),"ndd",D15+F15*28+H15*265))</f>
        <v/>
      </c>
      <c r="K15" s="339" t="str">
        <f>IF(T1.Contacto!$B$22=FALSE,"",IF(OR(C15="ndd",C15=""),"ndd",C15/T3.Normalización!$E15))</f>
        <v/>
      </c>
      <c r="L15" s="340" t="str">
        <f>IF(T1.Contacto!$B$22=FALSE,"",IF(OR(D15="ndd",D15=""),"ndd",D15/T3.Normalización!$E15))</f>
        <v/>
      </c>
      <c r="M15" s="324" t="str">
        <f>IF(T1.Contacto!$B$22=FALSE,"",IF(OR(C15="ndd",D15="ndd",C15="",D15=""),"ndd",(C15+D15)/T3.Normalización!$E15))</f>
        <v/>
      </c>
      <c r="N15" s="323" t="str">
        <f>IF(T1.Contacto!$B22=FALSE,"",IF(OR(E15="ndd",E15=""),"ndd",E15/T3.Normalización!$E15))</f>
        <v/>
      </c>
      <c r="O15" s="340" t="str">
        <f>IF(T1.Contacto!$B22=FALSE,"",IF(OR(H15="ndd",H15=""),"ndd",H15/T3.Normalización!$E15))</f>
        <v/>
      </c>
      <c r="P15" s="324" t="str">
        <f>IF(T1.Contacto!$B$22=FALSE,"",IF(OR(H15="ndd",G15="ndd",H15="",G15=""),"ndd",(H15+G15)/T3.Normalización!$E15))</f>
        <v/>
      </c>
      <c r="Q15" s="323" t="str">
        <f>IF(T1.Contacto!$B22=FALSE,"",IF(OR(G15="ndd",G15=""),"ndd",G15/T3.Normalización!$E15))</f>
        <v/>
      </c>
      <c r="R15" s="340" t="str">
        <f>IF(T1.Contacto!$B22=FALSE,"",IF(OR(J15="ndd",J15=""),"ndd",J15/T3.Normalización!$E15))</f>
        <v/>
      </c>
      <c r="S15" s="324" t="str">
        <f>IF(T1.Contacto!$B$22=FALSE,"",IF(OR(I15="ndd",J15="ndd",I15="",J15=""),"ndd",(I15+J15)/T3.Normalización!$E15))</f>
        <v/>
      </c>
      <c r="T15" s="323" t="str">
        <f>IF(T1.Contacto!$B22=FALSE,"",IF(OR(I15="ndd",I15=""),"ndd",I15/T3.Normalización!$E15))</f>
        <v/>
      </c>
      <c r="U15" s="340" t="str">
        <f>IF(T1.Contacto!$B22=FALSE,"",IF(OR(J15="ndd",J15=""),"ndd",J15/T3.Normalización!$E15))</f>
        <v/>
      </c>
      <c r="V15" s="324" t="str">
        <f>IF(T1.Contacto!$B$22=FALSE,"",IF(OR(I15="ndd",J15="ndd",I15="",J15=""),"ndd",(I15+J15)/T3.Normalización!$E15))</f>
        <v/>
      </c>
      <c r="X15" s="183" t="str">
        <f>IF(AND(T1.Contacto!B22=TRUE,COUNTBLANK(C15:H15)&gt;0),"Existen celdas vacías en Petroquímica, favor completar","")</f>
        <v/>
      </c>
    </row>
    <row r="16" spans="1:25" s="9" customFormat="1" ht="16.5" customHeight="1" thickBot="1" x14ac:dyDescent="0.3">
      <c r="A16" s="49"/>
      <c r="B16" s="49"/>
      <c r="C16" s="50"/>
      <c r="D16" s="50"/>
      <c r="E16" s="50"/>
      <c r="F16" s="50"/>
      <c r="G16" s="50"/>
      <c r="H16" s="50"/>
      <c r="I16" s="50"/>
      <c r="J16" s="50"/>
      <c r="K16" s="51"/>
      <c r="L16" s="51"/>
      <c r="M16" s="51"/>
      <c r="N16" s="52"/>
      <c r="O16" s="52"/>
      <c r="P16" s="52"/>
      <c r="Q16" s="52"/>
      <c r="R16" s="52"/>
      <c r="S16" s="53"/>
      <c r="T16" s="53"/>
      <c r="U16" s="53"/>
      <c r="V16" s="54"/>
    </row>
    <row r="17" spans="1:22" ht="16.5" thickBot="1" x14ac:dyDescent="0.3">
      <c r="A17" s="474" t="s">
        <v>8</v>
      </c>
      <c r="B17" s="475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6"/>
    </row>
    <row r="18" spans="1:22" ht="15.75" thickBot="1" x14ac:dyDescent="0.3"/>
    <row r="19" spans="1:22" ht="15.75" x14ac:dyDescent="0.25">
      <c r="A19" s="328" t="s">
        <v>143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6"/>
      <c r="P19" s="325"/>
      <c r="Q19" s="325"/>
      <c r="R19" s="325"/>
      <c r="S19" s="325"/>
      <c r="T19" s="325"/>
      <c r="U19" s="325"/>
      <c r="V19" s="326"/>
    </row>
    <row r="20" spans="1:22" x14ac:dyDescent="0.25">
      <c r="A20" s="330"/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31"/>
    </row>
    <row r="21" spans="1:22" x14ac:dyDescent="0.25">
      <c r="A21" s="330"/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31"/>
    </row>
    <row r="22" spans="1:22" x14ac:dyDescent="0.25">
      <c r="A22" s="330"/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31"/>
    </row>
    <row r="23" spans="1:22" x14ac:dyDescent="0.25">
      <c r="A23" s="330"/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31"/>
    </row>
    <row r="24" spans="1:22" ht="15.75" thickBot="1" x14ac:dyDescent="0.3">
      <c r="A24" s="332"/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4"/>
    </row>
    <row r="25" spans="1:22" x14ac:dyDescent="0.25">
      <c r="A25" s="329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7"/>
    </row>
    <row r="26" spans="1:22" x14ac:dyDescent="0.25">
      <c r="A26" s="186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7"/>
    </row>
    <row r="27" spans="1:22" x14ac:dyDescent="0.25">
      <c r="A27" s="186"/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</row>
    <row r="28" spans="1:22" x14ac:dyDescent="0.25">
      <c r="A28" s="186"/>
    </row>
    <row r="29" spans="1:22" x14ac:dyDescent="0.25">
      <c r="A29" s="186"/>
    </row>
    <row r="30" spans="1:22" x14ac:dyDescent="0.25">
      <c r="A30" s="186"/>
    </row>
    <row r="31" spans="1:22" x14ac:dyDescent="0.25">
      <c r="A31" s="186"/>
    </row>
    <row r="32" spans="1:22" x14ac:dyDescent="0.25">
      <c r="A32" s="186"/>
    </row>
    <row r="33" spans="1:1" x14ac:dyDescent="0.25">
      <c r="A33" s="186"/>
    </row>
  </sheetData>
  <mergeCells count="18">
    <mergeCell ref="A13:B13"/>
    <mergeCell ref="A14:B14"/>
    <mergeCell ref="A15:B15"/>
    <mergeCell ref="A17:V17"/>
    <mergeCell ref="A12:B12"/>
    <mergeCell ref="A1:S1"/>
    <mergeCell ref="K4:V4"/>
    <mergeCell ref="A6:B6"/>
    <mergeCell ref="A7:A10"/>
    <mergeCell ref="A11:B11"/>
    <mergeCell ref="C5:D5"/>
    <mergeCell ref="E5:F5"/>
    <mergeCell ref="G5:H5"/>
    <mergeCell ref="I5:J5"/>
    <mergeCell ref="K5:M5"/>
    <mergeCell ref="N5:P5"/>
    <mergeCell ref="Q5:S5"/>
    <mergeCell ref="T5:V5"/>
  </mergeCells>
  <conditionalFormatting sqref="I10:J10">
    <cfRule type="expression" dxfId="20" priority="29">
      <formula>$C$10="np"</formula>
    </cfRule>
  </conditionalFormatting>
  <conditionalFormatting sqref="N10:P10">
    <cfRule type="containsText" dxfId="19" priority="4" operator="containsText" text="NP">
      <formula>NOT(ISERROR(SEARCH("NP",N10)))</formula>
    </cfRule>
  </conditionalFormatting>
  <conditionalFormatting sqref="Q10:S10">
    <cfRule type="containsText" dxfId="18" priority="3" operator="containsText" text="NP">
      <formula>NOT(ISERROR(SEARCH("NP",Q10)))</formula>
    </cfRule>
  </conditionalFormatting>
  <conditionalFormatting sqref="T10:V10">
    <cfRule type="containsText" dxfId="17" priority="2" operator="containsText" text="NP">
      <formula>NOT(ISERROR(SEARCH("NP",T10)))</formula>
    </cfRule>
  </conditionalFormatting>
  <pageMargins left="0.75" right="0.75" top="1" bottom="1" header="0" footer="0"/>
  <pageSetup paperSize="9" orientation="landscape" r:id="rId1"/>
  <headerFooter alignWithMargins="0"/>
  <ignoredErrors>
    <ignoredError sqref="K7:M9 K12:M15 N7:P9 K11:M11 C10:H10 C11:H11 Q10:V10 Q7:V9 K10:P10 V11 V12 V13 V14 V15 S14 S13 P13 S12 P12 S11 P15 S15 P11 P14 N13:O13 N15:O15 N14:O14 Q14:R14 N11:O11 Q11:R11 T15:U15 Q15:R15 T11:U11 N12:O12 Q12:R12 T12:U12 Q13:R13 T13:U13 T14:U14 I7:J1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10E47719-FD57-491E-A51A-25D487C05587}">
            <xm:f>T1.Contacto!$B$17=FALSE</xm:f>
            <x14:dxf>
              <fill>
                <patternFill patternType="mediumGray"/>
              </fill>
            </x14:dxf>
          </x14:cfRule>
          <xm:sqref>C9:V9</xm:sqref>
        </x14:conditionalFormatting>
        <x14:conditionalFormatting xmlns:xm="http://schemas.microsoft.com/office/excel/2006/main">
          <x14:cfRule type="expression" priority="39" id="{92057077-8B46-40FE-9B75-77FB9B489FE3}">
            <xm:f>AND(T1.Contacto!$B$15=FALSE,T1.Contacto!$B$16=FALSE,T1.Contacto!$B$17=FALSE)</xm:f>
            <x14:dxf>
              <fill>
                <patternFill patternType="mediumGray"/>
              </fill>
            </x14:dxf>
          </x14:cfRule>
          <xm:sqref>C10:V10</xm:sqref>
        </x14:conditionalFormatting>
        <x14:conditionalFormatting xmlns:xm="http://schemas.microsoft.com/office/excel/2006/main">
          <x14:cfRule type="expression" priority="38" id="{DA626FF0-66F6-4D12-B373-9AF19F7BBB13}">
            <xm:f>T1.Contacto!$B$18=FALSE</xm:f>
            <x14:dxf>
              <fill>
                <patternFill patternType="mediumGray"/>
              </fill>
            </x14:dxf>
          </x14:cfRule>
          <xm:sqref>C11:V11</xm:sqref>
        </x14:conditionalFormatting>
        <x14:conditionalFormatting xmlns:xm="http://schemas.microsoft.com/office/excel/2006/main">
          <x14:cfRule type="expression" priority="37" id="{39F1F2B9-FC28-4864-A3FA-B98E51871477}">
            <xm:f>T1.Contacto!$B$19=FALSE</xm:f>
            <x14:dxf>
              <fill>
                <patternFill patternType="mediumGray"/>
              </fill>
            </x14:dxf>
          </x14:cfRule>
          <xm:sqref>C12:V12</xm:sqref>
        </x14:conditionalFormatting>
        <x14:conditionalFormatting xmlns:xm="http://schemas.microsoft.com/office/excel/2006/main">
          <x14:cfRule type="expression" priority="36" id="{E353DED5-5C5F-4003-B558-CEC781E08E82}">
            <xm:f>T1.Contacto!$B$20=FALSE</xm:f>
            <x14:dxf>
              <fill>
                <patternFill patternType="mediumGray"/>
              </fill>
            </x14:dxf>
          </x14:cfRule>
          <xm:sqref>C13:V13</xm:sqref>
        </x14:conditionalFormatting>
        <x14:conditionalFormatting xmlns:xm="http://schemas.microsoft.com/office/excel/2006/main">
          <x14:cfRule type="expression" priority="35" id="{4BD903BA-49F0-48A6-BEFF-0EC66FA2BF6D}">
            <xm:f>T1.Contacto!$B$21=FALSE</xm:f>
            <x14:dxf>
              <fill>
                <patternFill patternType="mediumGray"/>
              </fill>
            </x14:dxf>
          </x14:cfRule>
          <xm:sqref>C14:V14</xm:sqref>
        </x14:conditionalFormatting>
        <x14:conditionalFormatting xmlns:xm="http://schemas.microsoft.com/office/excel/2006/main">
          <x14:cfRule type="expression" priority="34" id="{44352E32-0F3B-4D1C-8731-1EA6345BF94E}">
            <xm:f>T1.Contacto!$B$22=FALSE</xm:f>
            <x14:dxf>
              <fill>
                <patternFill patternType="mediumGray"/>
              </fill>
            </x14:dxf>
          </x14:cfRule>
          <xm:sqref>C15:V15</xm:sqref>
        </x14:conditionalFormatting>
        <x14:conditionalFormatting xmlns:xm="http://schemas.microsoft.com/office/excel/2006/main">
          <x14:cfRule type="expression" priority="43" id="{5DA5C55F-1A4D-4BE6-AE80-7139A21144C6}">
            <xm:f>T1.Contacto!$B$15=FALSE</xm:f>
            <x14:dxf>
              <fill>
                <patternFill patternType="mediumGray"/>
              </fill>
            </x14:dxf>
          </x14:cfRule>
          <xm:sqref>C7:V7</xm:sqref>
        </x14:conditionalFormatting>
        <x14:conditionalFormatting xmlns:xm="http://schemas.microsoft.com/office/excel/2006/main">
          <x14:cfRule type="expression" priority="1" id="{B66E0843-A8C3-409B-8630-0BBB1D7AA50A}">
            <xm:f>T1.Contacto!$B$16=FALSE</xm:f>
            <x14:dxf>
              <fill>
                <patternFill patternType="mediumGray"/>
              </fill>
            </x14:dxf>
          </x14:cfRule>
          <xm:sqref>C8:V8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C49"/>
  <sheetViews>
    <sheetView showGridLines="0" zoomScale="80" zoomScaleNormal="80" workbookViewId="0">
      <selection activeCell="F21" sqref="F21"/>
    </sheetView>
  </sheetViews>
  <sheetFormatPr baseColWidth="10" defaultRowHeight="15" x14ac:dyDescent="0.25"/>
  <cols>
    <col min="1" max="1" width="28.5703125" style="62" customWidth="1"/>
    <col min="2" max="2" width="60" style="62" customWidth="1"/>
    <col min="3" max="3" width="85.5703125" style="170" customWidth="1"/>
    <col min="4" max="4" width="11.42578125" style="62"/>
    <col min="5" max="6" width="11.85546875" style="62" bestFit="1" customWidth="1"/>
    <col min="7" max="16384" width="11.42578125" style="62"/>
  </cols>
  <sheetData>
    <row r="2" spans="1:3" ht="18.75" x14ac:dyDescent="0.3">
      <c r="A2" s="533" t="s">
        <v>81</v>
      </c>
      <c r="B2" s="533"/>
      <c r="C2" s="533"/>
    </row>
    <row r="4" spans="1:3" ht="15" customHeight="1" x14ac:dyDescent="0.25">
      <c r="A4" s="534" t="s">
        <v>67</v>
      </c>
      <c r="B4" s="534"/>
      <c r="C4" s="534"/>
    </row>
    <row r="6" spans="1:3" x14ac:dyDescent="0.25">
      <c r="A6" s="539" t="s">
        <v>52</v>
      </c>
      <c r="B6" s="540"/>
      <c r="C6" s="154" t="s">
        <v>66</v>
      </c>
    </row>
    <row r="7" spans="1:3" ht="45" customHeight="1" x14ac:dyDescent="0.25">
      <c r="A7" s="537" t="s">
        <v>126</v>
      </c>
      <c r="B7" s="538"/>
      <c r="C7" s="196" t="s">
        <v>65</v>
      </c>
    </row>
    <row r="8" spans="1:3" ht="30" customHeight="1" x14ac:dyDescent="0.25">
      <c r="A8" s="535" t="s">
        <v>53</v>
      </c>
      <c r="B8" s="536"/>
      <c r="C8" s="196" t="s">
        <v>65</v>
      </c>
    </row>
    <row r="9" spans="1:3" x14ac:dyDescent="0.25">
      <c r="A9" s="190" t="s">
        <v>56</v>
      </c>
      <c r="B9" s="191" t="s">
        <v>55</v>
      </c>
      <c r="C9" s="187"/>
    </row>
    <row r="10" spans="1:3" x14ac:dyDescent="0.25">
      <c r="A10" s="192" t="s">
        <v>124</v>
      </c>
      <c r="B10" s="193" t="s">
        <v>125</v>
      </c>
      <c r="C10" s="188"/>
    </row>
    <row r="11" spans="1:3" x14ac:dyDescent="0.25">
      <c r="A11" s="192" t="s">
        <v>57</v>
      </c>
      <c r="B11" s="193" t="s">
        <v>93</v>
      </c>
      <c r="C11" s="188"/>
    </row>
    <row r="12" spans="1:3" x14ac:dyDescent="0.25">
      <c r="A12" s="192"/>
      <c r="B12" s="193" t="s">
        <v>58</v>
      </c>
      <c r="C12" s="188"/>
    </row>
    <row r="13" spans="1:3" x14ac:dyDescent="0.25">
      <c r="A13" s="192" t="s">
        <v>59</v>
      </c>
      <c r="B13" s="193" t="s">
        <v>60</v>
      </c>
      <c r="C13" s="188"/>
    </row>
    <row r="14" spans="1:3" x14ac:dyDescent="0.25">
      <c r="A14" s="192"/>
      <c r="B14" s="193" t="s">
        <v>61</v>
      </c>
      <c r="C14" s="188"/>
    </row>
    <row r="15" spans="1:3" x14ac:dyDescent="0.25">
      <c r="A15" s="192" t="s">
        <v>62</v>
      </c>
      <c r="B15" s="193" t="s">
        <v>92</v>
      </c>
      <c r="C15" s="188"/>
    </row>
    <row r="16" spans="1:3" x14ac:dyDescent="0.25">
      <c r="A16" s="194" t="s">
        <v>63</v>
      </c>
      <c r="B16" s="195" t="s">
        <v>94</v>
      </c>
      <c r="C16" s="189"/>
    </row>
    <row r="17" spans="1:3" x14ac:dyDescent="0.25">
      <c r="A17" s="551" t="s">
        <v>95</v>
      </c>
      <c r="B17" s="552"/>
      <c r="C17" s="553"/>
    </row>
    <row r="18" spans="1:3" x14ac:dyDescent="0.25">
      <c r="A18" s="543" t="s">
        <v>56</v>
      </c>
      <c r="B18" s="544"/>
      <c r="C18" s="197" t="str">
        <f>IF(COUNTBLANK(T3.Normalización!G7:G15)&lt;&gt;9,"Existen celdas vacías en Tabla 3, favor revisar","OK")</f>
        <v>OK</v>
      </c>
    </row>
    <row r="19" spans="1:3" x14ac:dyDescent="0.25">
      <c r="A19" s="545" t="s">
        <v>124</v>
      </c>
      <c r="B19" s="546"/>
      <c r="C19" s="197" t="str">
        <f>IF(OR(T4.Derrames!$B$15&lt;&gt;"",T4.Derrames!$B$25&lt;&gt;"",T4.Derrames!$B$35&lt;&gt;"",T4.Derrames!$B$54&lt;&gt;"",T4.Derrames!$B$64&lt;&gt;"",T4.Derrames!$B$74&lt;&gt;"",T4.Derrames!$B$84&lt;&gt;"",T4.Derrames!$B$94&lt;&gt;""),"Existen celdas vacías en Tabla 4, favor revisar","OK")</f>
        <v>OK</v>
      </c>
    </row>
    <row r="20" spans="1:3" x14ac:dyDescent="0.25">
      <c r="A20" s="545" t="s">
        <v>57</v>
      </c>
      <c r="B20" s="546"/>
      <c r="C20" s="197" t="str">
        <f>IF(COUNTBLANK('T5.Agua Producida'!F5:F7)&lt;&gt;3,"Existen celdas vacías en Tabla 5, favor revisar","OK")</f>
        <v>OK</v>
      </c>
    </row>
    <row r="21" spans="1:3" x14ac:dyDescent="0.25">
      <c r="A21" s="545" t="s">
        <v>59</v>
      </c>
      <c r="B21" s="546"/>
      <c r="C21" s="197" t="str">
        <f>IF(COUNTBLANK(T6.Efluentes!I6:I14)&lt;&gt;9,"Existen celdas vacías en Tabla 6, favor revisar","OK")</f>
        <v>OK</v>
      </c>
    </row>
    <row r="22" spans="1:3" x14ac:dyDescent="0.25">
      <c r="A22" s="545" t="s">
        <v>62</v>
      </c>
      <c r="B22" s="546"/>
      <c r="C22" s="197" t="str">
        <f>IF(COUNTBLANK(T7.Desechos!H6:H14)&lt;&gt;9,"Existen celdas vacías en Tabla 7, favor revisar","OK")</f>
        <v>OK</v>
      </c>
    </row>
    <row r="23" spans="1:3" x14ac:dyDescent="0.25">
      <c r="A23" s="547" t="s">
        <v>63</v>
      </c>
      <c r="B23" s="548"/>
      <c r="C23" s="197" t="str">
        <f>IF(COUNTBLANK('T8.Agua dulce'!I6:I14)&lt;&gt;9,"Existen celdas vacías en Tabla 8, favor revisar","OK")</f>
        <v>OK</v>
      </c>
    </row>
    <row r="24" spans="1:3" x14ac:dyDescent="0.25">
      <c r="A24" s="551" t="s">
        <v>105</v>
      </c>
      <c r="B24" s="552"/>
      <c r="C24" s="553"/>
    </row>
    <row r="25" spans="1:3" ht="30" customHeight="1" x14ac:dyDescent="0.25">
      <c r="A25" s="549" t="s">
        <v>96</v>
      </c>
      <c r="B25" s="550"/>
      <c r="C25" s="198" t="str">
        <f>IF(+'T5.Agua Producida'!A16="","OK",'T5.Agua Producida'!A16)</f>
        <v>OK</v>
      </c>
    </row>
    <row r="26" spans="1:3" ht="30" customHeight="1" x14ac:dyDescent="0.25">
      <c r="A26" s="549" t="s">
        <v>97</v>
      </c>
      <c r="B26" s="550"/>
      <c r="C26" s="198" t="str">
        <f>IF(+'T5.Agua Producida'!A17="","OK",'T5.Agua Producida'!A17)</f>
        <v>OK</v>
      </c>
    </row>
    <row r="27" spans="1:3" ht="30" customHeight="1" x14ac:dyDescent="0.25">
      <c r="A27" s="549" t="s">
        <v>98</v>
      </c>
      <c r="B27" s="550"/>
      <c r="C27" s="198" t="str">
        <f>IF(+'T5.Agua Producida'!A18="","OK",'T5.Agua Producida'!A18)</f>
        <v>OK</v>
      </c>
    </row>
    <row r="28" spans="1:3" ht="30" customHeight="1" x14ac:dyDescent="0.25">
      <c r="A28" s="549" t="s">
        <v>99</v>
      </c>
      <c r="B28" s="550"/>
      <c r="C28" s="198" t="str">
        <f>IF(+'T5.Agua Producida'!A19="","OK",'T5.Agua Producida'!A19)</f>
        <v>OK</v>
      </c>
    </row>
    <row r="29" spans="1:3" ht="30" customHeight="1" x14ac:dyDescent="0.25">
      <c r="A29" s="549" t="s">
        <v>100</v>
      </c>
      <c r="B29" s="550"/>
      <c r="C29" s="198" t="str">
        <f>IF(+'T5.Agua Producida'!A20="","OK",'T5.Agua Producida'!A20)</f>
        <v>OK</v>
      </c>
    </row>
    <row r="30" spans="1:3" ht="30" customHeight="1" x14ac:dyDescent="0.25">
      <c r="A30" s="549" t="s">
        <v>101</v>
      </c>
      <c r="B30" s="550"/>
      <c r="C30" s="198" t="str">
        <f>IF(+'T5.Agua Producida'!A21="","OK",'T5.Agua Producida'!A21)</f>
        <v>OK</v>
      </c>
    </row>
    <row r="31" spans="1:3" x14ac:dyDescent="0.25">
      <c r="A31" s="551" t="s">
        <v>127</v>
      </c>
      <c r="B31" s="552"/>
      <c r="C31" s="553"/>
    </row>
    <row r="32" spans="1:3" x14ac:dyDescent="0.25">
      <c r="A32" s="541" t="s">
        <v>102</v>
      </c>
      <c r="B32" s="542"/>
      <c r="C32" s="196" t="str">
        <f>IF(COUNTIF(T4.Derrames!I9:J11,"Error!!!")&gt;0,"Existen errores en el reporte de derrames (Tabla 4) en Producción costa afuera","OK")</f>
        <v>OK</v>
      </c>
    </row>
    <row r="33" spans="1:3" x14ac:dyDescent="0.25">
      <c r="A33" s="541" t="s">
        <v>103</v>
      </c>
      <c r="B33" s="542"/>
      <c r="C33" s="196" t="str">
        <f>IF(COUNTIF(T4.Derrames!I19:J21,"Error!!!")&gt;0,"Existen errores en el reporte de derrames (Tabla 4) en Producción en tierra","OK")</f>
        <v>OK</v>
      </c>
    </row>
    <row r="34" spans="1:3" x14ac:dyDescent="0.25">
      <c r="A34" s="541" t="s">
        <v>104</v>
      </c>
      <c r="B34" s="542"/>
      <c r="C34" s="196" t="str">
        <f>IF(COUNTIF(T4.Derrames!I29:J31,"Error!!!")&gt;0,"Existen errores en el reporte de derrames (Tabla 4) en Producción de no convencionales","OK")</f>
        <v>OK</v>
      </c>
    </row>
    <row r="35" spans="1:3" x14ac:dyDescent="0.25">
      <c r="A35" s="541" t="s">
        <v>5</v>
      </c>
      <c r="B35" s="542"/>
      <c r="C35" s="196" t="str">
        <f>IF(COUNTIF(T4.Derrames!I48:J50,"Error!!!")&gt;0,"Existen errores en el reporte de derrames (Tabla 4) en Transporte por ductos","OK")</f>
        <v>OK</v>
      </c>
    </row>
    <row r="36" spans="1:3" x14ac:dyDescent="0.25">
      <c r="A36" s="541" t="s">
        <v>6</v>
      </c>
      <c r="B36" s="542"/>
      <c r="C36" s="196" t="str">
        <f>IF(COUNTIF(T4.Derrames!I58:J60,"Error!!!")&gt;0,"Existen errores en el reporte de derrames (Tabla 4) en Movimiento de terminales","OK")</f>
        <v>OK</v>
      </c>
    </row>
    <row r="37" spans="1:3" x14ac:dyDescent="0.25">
      <c r="A37" s="541" t="s">
        <v>13</v>
      </c>
      <c r="B37" s="542"/>
      <c r="C37" s="196" t="str">
        <f>IF(COUNTIF(T4.Derrames!I68:J70,"Error!!!")&gt;0,"Existen errores en el reporte de derrames (Tabla 4) en Distribución / Transporte","OK")</f>
        <v>OK</v>
      </c>
    </row>
    <row r="38" spans="1:3" x14ac:dyDescent="0.25">
      <c r="A38" s="541" t="s">
        <v>7</v>
      </c>
      <c r="B38" s="542"/>
      <c r="C38" s="196" t="str">
        <f>IF(COUNTIF(T4.Derrames!I78:J80,"Error!!!")&gt;0,"Existen errores en el reporte de derrames (Tabla 4) en Refinación","OK")</f>
        <v>OK</v>
      </c>
    </row>
    <row r="39" spans="1:3" x14ac:dyDescent="0.25">
      <c r="A39" s="541" t="s">
        <v>21</v>
      </c>
      <c r="B39" s="542"/>
      <c r="C39" s="196" t="str">
        <f>IF(COUNTIF(T4.Derrames!I88:J90,"Error!!!")&gt;0,"Existen errores en el reporte de derrames (Tabla 4) en Petroquímica","OK")</f>
        <v>OK</v>
      </c>
    </row>
    <row r="42" spans="1:3" x14ac:dyDescent="0.25">
      <c r="A42" s="166" t="b">
        <f>+T3.Normalización!A33</f>
        <v>0</v>
      </c>
    </row>
    <row r="43" spans="1:3" x14ac:dyDescent="0.25">
      <c r="A43" s="166" t="b">
        <f>+T3.Normalización!A34</f>
        <v>0</v>
      </c>
    </row>
    <row r="44" spans="1:3" x14ac:dyDescent="0.25">
      <c r="A44" s="166" t="b">
        <f>+T3.Normalización!A35</f>
        <v>0</v>
      </c>
    </row>
    <row r="45" spans="1:3" x14ac:dyDescent="0.25">
      <c r="A45" s="166" t="b">
        <f>+T3.Normalización!A36</f>
        <v>0</v>
      </c>
    </row>
    <row r="46" spans="1:3" x14ac:dyDescent="0.25">
      <c r="A46" s="166" t="b">
        <f>+T3.Normalización!A37</f>
        <v>0</v>
      </c>
    </row>
    <row r="47" spans="1:3" x14ac:dyDescent="0.25">
      <c r="A47" s="166" t="b">
        <f>+T3.Normalización!A38</f>
        <v>0</v>
      </c>
    </row>
    <row r="48" spans="1:3" x14ac:dyDescent="0.25">
      <c r="A48" s="166" t="b">
        <f>+T3.Normalización!A39</f>
        <v>0</v>
      </c>
    </row>
    <row r="49" spans="1:1" x14ac:dyDescent="0.25">
      <c r="A49" s="166" t="b">
        <f>+T3.Normalización!A40</f>
        <v>0</v>
      </c>
    </row>
  </sheetData>
  <mergeCells count="28">
    <mergeCell ref="A17:C17"/>
    <mergeCell ref="A24:C24"/>
    <mergeCell ref="A31:C31"/>
    <mergeCell ref="A37:B37"/>
    <mergeCell ref="A38:B38"/>
    <mergeCell ref="A28:B28"/>
    <mergeCell ref="A29:B29"/>
    <mergeCell ref="A39:B39"/>
    <mergeCell ref="A18:B18"/>
    <mergeCell ref="A19:B19"/>
    <mergeCell ref="A20:B20"/>
    <mergeCell ref="A21:B21"/>
    <mergeCell ref="A22:B22"/>
    <mergeCell ref="A23:B23"/>
    <mergeCell ref="A30:B30"/>
    <mergeCell ref="A33:B33"/>
    <mergeCell ref="A34:B34"/>
    <mergeCell ref="A35:B35"/>
    <mergeCell ref="A36:B36"/>
    <mergeCell ref="A32:B32"/>
    <mergeCell ref="A25:B25"/>
    <mergeCell ref="A26:B26"/>
    <mergeCell ref="A27:B27"/>
    <mergeCell ref="A2:C2"/>
    <mergeCell ref="A4:C4"/>
    <mergeCell ref="A8:B8"/>
    <mergeCell ref="A7:B7"/>
    <mergeCell ref="A6:B6"/>
  </mergeCells>
  <conditionalFormatting sqref="A25:C25 A32:C32 A28:C28">
    <cfRule type="expression" dxfId="7" priority="10">
      <formula>$A$42=FALSE</formula>
    </cfRule>
  </conditionalFormatting>
  <conditionalFormatting sqref="A26:C26 A33:C33 A29:C29">
    <cfRule type="expression" dxfId="6" priority="9">
      <formula>$A$43=FALSE</formula>
    </cfRule>
  </conditionalFormatting>
  <conditionalFormatting sqref="A27:C27 A34:C34 A30:C30">
    <cfRule type="expression" dxfId="5" priority="8">
      <formula>$A$44=FALSE</formula>
    </cfRule>
  </conditionalFormatting>
  <conditionalFormatting sqref="A35:C35">
    <cfRule type="expression" dxfId="4" priority="7">
      <formula>$A$45=FALSE</formula>
    </cfRule>
  </conditionalFormatting>
  <conditionalFormatting sqref="A36:C36">
    <cfRule type="expression" dxfId="3" priority="4">
      <formula>$A$46=FALSE</formula>
    </cfRule>
  </conditionalFormatting>
  <conditionalFormatting sqref="A37:C37">
    <cfRule type="expression" dxfId="2" priority="3">
      <formula>$A$47=FALSE</formula>
    </cfRule>
  </conditionalFormatting>
  <conditionalFormatting sqref="A38:C38">
    <cfRule type="expression" dxfId="1" priority="2">
      <formula>$A$48=FALSE</formula>
    </cfRule>
  </conditionalFormatting>
  <conditionalFormatting sqref="A39:C39">
    <cfRule type="expression" dxfId="0" priority="1">
      <formula>$A$49=FALSE</formula>
    </cfRule>
  </conditionalFormatting>
  <dataValidations count="1">
    <dataValidation type="list" allowBlank="1" showInputMessage="1" showErrorMessage="1" sqref="C7:C8">
      <formula1>"OK,Pendiente"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T1.Contacto</vt:lpstr>
      <vt:lpstr>T3.Normalización</vt:lpstr>
      <vt:lpstr>T4.Derrames</vt:lpstr>
      <vt:lpstr>T5.Agua Producida</vt:lpstr>
      <vt:lpstr>T6.Efluentes</vt:lpstr>
      <vt:lpstr>T7.Desechos</vt:lpstr>
      <vt:lpstr>T8.Agua dulce</vt:lpstr>
      <vt:lpstr>T9.Emisiones</vt:lpstr>
      <vt:lpstr>Checklist</vt:lpstr>
      <vt:lpstr>T3.Normalización!Área_de_impresión</vt:lpstr>
      <vt:lpstr>T4.Derrames!Títulos_a_imprimir</vt:lpstr>
    </vt:vector>
  </TitlesOfParts>
  <Company>ARPEL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Moyano</dc:creator>
  <cp:lastModifiedBy>Pablo Ferragut</cp:lastModifiedBy>
  <cp:lastPrinted>2008-11-11T18:36:42Z</cp:lastPrinted>
  <dcterms:created xsi:type="dcterms:W3CDTF">2006-10-02T18:19:58Z</dcterms:created>
  <dcterms:modified xsi:type="dcterms:W3CDTF">2018-06-07T13:48:01Z</dcterms:modified>
</cp:coreProperties>
</file>